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635" yWindow="-15" windowWidth="7680" windowHeight="8505"/>
  </bookViews>
  <sheets>
    <sheet name="Intro" sheetId="57" r:id="rId1"/>
    <sheet name="PMT" sheetId="20" r:id="rId2"/>
    <sheet name="RATE" sheetId="14" r:id="rId3"/>
    <sheet name="PV" sheetId="15" r:id="rId4"/>
    <sheet name="NPER" sheetId="26" r:id="rId5"/>
    <sheet name="FV" sheetId="35" r:id="rId6"/>
    <sheet name="PPMT" sheetId="19" r:id="rId7"/>
    <sheet name="CUMIPMT" sheetId="44" r:id="rId8"/>
    <sheet name="EFFECT" sheetId="36" r:id="rId9"/>
    <sheet name="ISPMT" sheetId="30" r:id="rId10"/>
    <sheet name="SLN" sheetId="12" r:id="rId11"/>
    <sheet name="Switch" sheetId="55" r:id="rId12"/>
    <sheet name="VDB" sheetId="56" r:id="rId13"/>
    <sheet name="NPV" sheetId="25" r:id="rId14"/>
    <sheet name="MIRR" sheetId="28" r:id="rId15"/>
    <sheet name="XNPV" sheetId="5" r:id="rId16"/>
    <sheet name="YIELD" sheetId="4" r:id="rId17"/>
    <sheet name="PRICE" sheetId="18" r:id="rId18"/>
    <sheet name="COUP" sheetId="50" r:id="rId19"/>
    <sheet name="RECEIVED" sheetId="13" r:id="rId20"/>
    <sheet name="INTRATE" sheetId="33" r:id="rId21"/>
    <sheet name="DISC" sheetId="40" r:id="rId22"/>
    <sheet name="PRICEMAT" sheetId="16" r:id="rId23"/>
    <sheet name="PRICEDISC" sheetId="17" r:id="rId24"/>
    <sheet name="TBILL" sheetId="10" r:id="rId25"/>
    <sheet name="ACCRINT" sheetId="54" r:id="rId26"/>
    <sheet name="DURATION" sheetId="37" r:id="rId27"/>
    <sheet name="DOLLARDE" sheetId="39" r:id="rId28"/>
    <sheet name="FVSCHEDULE" sheetId="34" r:id="rId29"/>
    <sheet name="Sheet1" sheetId="1" r:id="rId30"/>
    <sheet name="ODDFPRICE" sheetId="24" r:id="rId31"/>
    <sheet name="ODDFYIELD" sheetId="23" r:id="rId32"/>
    <sheet name="ODDLPRICE" sheetId="22" r:id="rId33"/>
    <sheet name="ODDLYIELD" sheetId="21" r:id="rId34"/>
  </sheets>
  <calcPr calcId="144525"/>
</workbook>
</file>

<file path=xl/calcChain.xml><?xml version="1.0" encoding="utf-8"?>
<calcChain xmlns="http://schemas.openxmlformats.org/spreadsheetml/2006/main">
  <c r="B13" i="10" l="1"/>
  <c r="B14" i="10"/>
  <c r="B9" i="10"/>
  <c r="B2" i="50"/>
  <c r="B2" i="18"/>
  <c r="B1" i="18"/>
  <c r="D2" i="4"/>
  <c r="C2" i="4"/>
  <c r="B2" i="4"/>
  <c r="D1" i="4"/>
  <c r="C1" i="4"/>
  <c r="B1" i="4"/>
  <c r="B14" i="25"/>
  <c r="B12" i="44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9" i="19"/>
  <c r="D5" i="34" l="1"/>
  <c r="C5" i="34"/>
  <c r="B5" i="34"/>
  <c r="C10" i="39"/>
  <c r="E10" i="39" s="1"/>
  <c r="C9" i="39"/>
  <c r="E9" i="39" s="1"/>
  <c r="C8" i="39"/>
  <c r="E8" i="39" s="1"/>
  <c r="C7" i="39"/>
  <c r="E7" i="39" s="1"/>
  <c r="C6" i="39"/>
  <c r="E6" i="39" s="1"/>
  <c r="C5" i="39"/>
  <c r="E5" i="39" s="1"/>
  <c r="C4" i="39"/>
  <c r="E4" i="39" s="1"/>
  <c r="C25" i="39"/>
  <c r="E25" i="39" s="1"/>
  <c r="C24" i="39"/>
  <c r="E24" i="39" s="1"/>
  <c r="C23" i="39"/>
  <c r="E23" i="39" s="1"/>
  <c r="C22" i="39"/>
  <c r="E22" i="39" s="1"/>
  <c r="C21" i="39"/>
  <c r="E21" i="39" s="1"/>
  <c r="C20" i="39"/>
  <c r="E20" i="39" s="1"/>
  <c r="C19" i="39"/>
  <c r="E19" i="39" s="1"/>
  <c r="C18" i="39"/>
  <c r="E18" i="39" s="1"/>
  <c r="C17" i="39"/>
  <c r="E17" i="39" s="1"/>
  <c r="C16" i="39"/>
  <c r="E16" i="39" s="1"/>
  <c r="C15" i="39"/>
  <c r="E15" i="39" s="1"/>
  <c r="C14" i="39"/>
  <c r="E14" i="39" s="1"/>
  <c r="C13" i="39"/>
  <c r="E13" i="39" s="1"/>
  <c r="C12" i="39"/>
  <c r="E12" i="39" s="1"/>
  <c r="C11" i="39"/>
  <c r="E11" i="39" s="1"/>
  <c r="B9" i="37"/>
  <c r="F9" i="54"/>
  <c r="E9" i="54"/>
  <c r="D9" i="54"/>
  <c r="C9" i="54"/>
  <c r="B18" i="54"/>
  <c r="B17" i="10"/>
  <c r="B11" i="10"/>
  <c r="B16" i="17"/>
  <c r="B17" i="16"/>
  <c r="D7" i="13"/>
  <c r="C7" i="13"/>
  <c r="B10" i="50"/>
  <c r="B5" i="50"/>
  <c r="B11" i="5"/>
  <c r="B9" i="5"/>
  <c r="B9" i="18"/>
  <c r="D9" i="4"/>
  <c r="C9" i="4"/>
  <c r="B9" i="4"/>
  <c r="B10" i="28"/>
  <c r="B15" i="25"/>
  <c r="B16" i="25"/>
  <c r="B17" i="25"/>
  <c r="B9" i="25"/>
  <c r="A8" i="56"/>
  <c r="B8" i="56" s="1"/>
  <c r="A7" i="56"/>
  <c r="C7" i="56" s="1"/>
  <c r="E6" i="55"/>
  <c r="E7" i="55"/>
  <c r="E8" i="55"/>
  <c r="E9" i="55"/>
  <c r="E10" i="55"/>
  <c r="E11" i="55"/>
  <c r="E12" i="55"/>
  <c r="E13" i="55"/>
  <c r="E14" i="55"/>
  <c r="E15" i="55"/>
  <c r="D6" i="55"/>
  <c r="D7" i="55"/>
  <c r="D8" i="55"/>
  <c r="D9" i="55"/>
  <c r="D10" i="55"/>
  <c r="D11" i="55"/>
  <c r="D12" i="55"/>
  <c r="D13" i="55"/>
  <c r="D14" i="55"/>
  <c r="D15" i="55"/>
  <c r="D16" i="55"/>
  <c r="C6" i="55"/>
  <c r="C7" i="55"/>
  <c r="C8" i="55"/>
  <c r="C9" i="55"/>
  <c r="C10" i="55"/>
  <c r="C11" i="55"/>
  <c r="C12" i="55"/>
  <c r="C13" i="55"/>
  <c r="C14" i="55"/>
  <c r="C15" i="55"/>
  <c r="B6" i="55"/>
  <c r="B7" i="55"/>
  <c r="B16" i="55" s="1"/>
  <c r="B8" i="55"/>
  <c r="B9" i="55"/>
  <c r="B10" i="55"/>
  <c r="B11" i="55"/>
  <c r="B12" i="55"/>
  <c r="B13" i="55"/>
  <c r="B14" i="55"/>
  <c r="B15" i="55"/>
  <c r="F15" i="12"/>
  <c r="F14" i="12"/>
  <c r="F13" i="12"/>
  <c r="F12" i="12"/>
  <c r="F11" i="12"/>
  <c r="F10" i="12"/>
  <c r="F9" i="12"/>
  <c r="F8" i="12"/>
  <c r="F7" i="12"/>
  <c r="F6" i="12"/>
  <c r="E15" i="12"/>
  <c r="E14" i="12"/>
  <c r="E13" i="12"/>
  <c r="E12" i="12"/>
  <c r="E11" i="12"/>
  <c r="E10" i="12"/>
  <c r="E9" i="12"/>
  <c r="E8" i="12"/>
  <c r="E7" i="12"/>
  <c r="E6" i="12"/>
  <c r="D15" i="12"/>
  <c r="D14" i="12"/>
  <c r="D13" i="12"/>
  <c r="D12" i="12"/>
  <c r="D11" i="12"/>
  <c r="D10" i="12"/>
  <c r="D9" i="12"/>
  <c r="D8" i="12"/>
  <c r="D7" i="12"/>
  <c r="D6" i="12"/>
  <c r="C15" i="12"/>
  <c r="C14" i="12"/>
  <c r="C13" i="12"/>
  <c r="C12" i="12"/>
  <c r="C11" i="12"/>
  <c r="C10" i="12"/>
  <c r="C9" i="12"/>
  <c r="C8" i="12"/>
  <c r="C7" i="12"/>
  <c r="C6" i="12"/>
  <c r="B15" i="12"/>
  <c r="B14" i="12"/>
  <c r="B13" i="12"/>
  <c r="B12" i="12"/>
  <c r="B11" i="12"/>
  <c r="B10" i="12"/>
  <c r="B9" i="12"/>
  <c r="B8" i="12"/>
  <c r="B7" i="12"/>
  <c r="B6" i="12"/>
  <c r="D5" i="36"/>
  <c r="A5" i="36"/>
  <c r="D9" i="36"/>
  <c r="C5" i="36"/>
  <c r="C9" i="36" s="1"/>
  <c r="B5" i="36"/>
  <c r="B9" i="36" s="1"/>
  <c r="A9" i="36"/>
  <c r="D12" i="44"/>
  <c r="C13" i="44" s="1"/>
  <c r="D13" i="44" s="1"/>
  <c r="E12" i="44"/>
  <c r="B4" i="44"/>
  <c r="C56" i="19"/>
  <c r="C55" i="19"/>
  <c r="C54" i="19"/>
  <c r="C53" i="19"/>
  <c r="C52" i="19"/>
  <c r="C51" i="19"/>
  <c r="C50" i="19"/>
  <c r="C49" i="19"/>
  <c r="C48" i="19"/>
  <c r="C47" i="19"/>
  <c r="C46" i="19"/>
  <c r="C45" i="19"/>
  <c r="C44" i="19"/>
  <c r="C43" i="19"/>
  <c r="C42" i="19"/>
  <c r="C41" i="19"/>
  <c r="C40" i="19"/>
  <c r="C39" i="19"/>
  <c r="C38" i="19"/>
  <c r="C37" i="19"/>
  <c r="C36" i="19"/>
  <c r="C35" i="19"/>
  <c r="C34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B3" i="35"/>
  <c r="B8" i="35" s="1"/>
  <c r="B56" i="19"/>
  <c r="B4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5" i="26"/>
  <c r="B6" i="26" s="1"/>
  <c r="B3" i="15"/>
  <c r="B5" i="15" s="1"/>
  <c r="B6" i="14"/>
  <c r="B5" i="20"/>
  <c r="B7" i="20" s="1"/>
  <c r="B5" i="10"/>
  <c r="B7" i="13"/>
  <c r="B8" i="16"/>
  <c r="B8" i="17"/>
  <c r="A11" i="21"/>
  <c r="A11" i="22"/>
  <c r="A12" i="23"/>
  <c r="A12" i="24"/>
  <c r="A7" i="30"/>
  <c r="A8" i="30"/>
  <c r="B7" i="33"/>
  <c r="B99" i="35"/>
  <c r="B8" i="37"/>
  <c r="B7" i="40"/>
  <c r="B9" i="54"/>
  <c r="B6" i="50"/>
  <c r="B7" i="50"/>
  <c r="B8" i="50"/>
  <c r="B9" i="50"/>
  <c r="C16" i="55" l="1"/>
  <c r="F12" i="44"/>
  <c r="E16" i="55"/>
  <c r="C14" i="44"/>
  <c r="F13" i="44"/>
  <c r="A9" i="56"/>
  <c r="C8" i="56"/>
  <c r="E13" i="44"/>
  <c r="B9" i="56" l="1"/>
  <c r="A10" i="56" s="1"/>
  <c r="D14" i="44"/>
  <c r="C15" i="44" s="1"/>
  <c r="F14" i="44" l="1"/>
  <c r="E14" i="44"/>
  <c r="D15" i="44"/>
  <c r="C16" i="44" s="1"/>
  <c r="C9" i="56"/>
  <c r="B10" i="56"/>
  <c r="A11" i="56" s="1"/>
  <c r="C10" i="56"/>
  <c r="F15" i="44" l="1"/>
  <c r="E15" i="44"/>
  <c r="D16" i="44"/>
  <c r="C17" i="44" s="1"/>
  <c r="B11" i="56"/>
  <c r="A12" i="56" s="1"/>
  <c r="C11" i="56" l="1"/>
  <c r="F16" i="44"/>
  <c r="E16" i="44"/>
  <c r="B12" i="56"/>
  <c r="C12" i="56" s="1"/>
  <c r="D17" i="44"/>
  <c r="C18" i="44" s="1"/>
  <c r="F17" i="44" l="1"/>
  <c r="E17" i="44"/>
  <c r="D18" i="44"/>
  <c r="C19" i="44" s="1"/>
  <c r="F18" i="44" l="1"/>
  <c r="E18" i="44"/>
  <c r="D19" i="44"/>
  <c r="C20" i="44" s="1"/>
  <c r="F19" i="44" l="1"/>
  <c r="E19" i="44"/>
  <c r="D20" i="44"/>
  <c r="C21" i="44" s="1"/>
  <c r="F20" i="44" l="1"/>
  <c r="D21" i="44"/>
  <c r="C22" i="44" s="1"/>
  <c r="E20" i="44"/>
  <c r="D22" i="44" l="1"/>
  <c r="C23" i="44" s="1"/>
  <c r="F21" i="44"/>
  <c r="E21" i="44"/>
  <c r="F22" i="44" l="1"/>
  <c r="D23" i="44"/>
  <c r="C24" i="44" s="1"/>
  <c r="E22" i="44"/>
  <c r="D24" i="44" l="1"/>
  <c r="C25" i="44" s="1"/>
  <c r="F23" i="44"/>
  <c r="E23" i="44"/>
  <c r="F24" i="44" l="1"/>
  <c r="E24" i="44"/>
  <c r="D25" i="44"/>
  <c r="C26" i="44" s="1"/>
  <c r="F25" i="44" l="1"/>
  <c r="E25" i="44"/>
  <c r="D26" i="44"/>
  <c r="C27" i="44" s="1"/>
  <c r="E26" i="44" l="1"/>
  <c r="E27" i="44"/>
  <c r="F27" i="44"/>
  <c r="F26" i="44"/>
</calcChain>
</file>

<file path=xl/sharedStrings.xml><?xml version="1.0" encoding="utf-8"?>
<sst xmlns="http://schemas.openxmlformats.org/spreadsheetml/2006/main" count="493" uniqueCount="280">
  <si>
    <t>ACCRINT</t>
  </si>
  <si>
    <t>ACCRINTM</t>
  </si>
  <si>
    <t>AMORDEGRC</t>
  </si>
  <si>
    <t>AMORLINC</t>
  </si>
  <si>
    <t>COUPDAYBS</t>
  </si>
  <si>
    <t>COUPDAYS</t>
  </si>
  <si>
    <t>COUPDAYSNC</t>
  </si>
  <si>
    <t>COUPNCD</t>
  </si>
  <si>
    <t>COUPNUM</t>
  </si>
  <si>
    <t>COUPPCD</t>
  </si>
  <si>
    <t>CUMIPMT</t>
  </si>
  <si>
    <t>CUMPRINC</t>
  </si>
  <si>
    <t>DB</t>
  </si>
  <si>
    <t>DDB</t>
  </si>
  <si>
    <t>DISC</t>
  </si>
  <si>
    <t>DOLLARDE</t>
  </si>
  <si>
    <t>DOLLARFR</t>
  </si>
  <si>
    <t>DURATION</t>
  </si>
  <si>
    <t>EFFECT</t>
  </si>
  <si>
    <t>FV</t>
  </si>
  <si>
    <t>FVSCHEDULE</t>
  </si>
  <si>
    <t>INTRATE</t>
  </si>
  <si>
    <t>IPMT</t>
  </si>
  <si>
    <t>IRR</t>
  </si>
  <si>
    <t>ISPMT</t>
  </si>
  <si>
    <t>MDURATION</t>
  </si>
  <si>
    <t>MIRR</t>
  </si>
  <si>
    <t>NOMINAL</t>
  </si>
  <si>
    <t>NPER</t>
  </si>
  <si>
    <t>NPV</t>
  </si>
  <si>
    <t>ODDFPRICE</t>
  </si>
  <si>
    <t>ODDFYIELD</t>
  </si>
  <si>
    <t>ODDLPRICE</t>
  </si>
  <si>
    <t>ODDLYIELD</t>
  </si>
  <si>
    <t>PMT</t>
  </si>
  <si>
    <t>PPMT</t>
  </si>
  <si>
    <t>PRICE</t>
  </si>
  <si>
    <t>PRICEDISC</t>
  </si>
  <si>
    <t>PRICEMAT</t>
  </si>
  <si>
    <t>PV</t>
  </si>
  <si>
    <t>RATE</t>
  </si>
  <si>
    <t>RECEIVED</t>
  </si>
  <si>
    <t>SLN</t>
  </si>
  <si>
    <t>SYD</t>
  </si>
  <si>
    <t>TBILLEQ</t>
  </si>
  <si>
    <t>TBILLPRICE</t>
  </si>
  <si>
    <t>TBILLYIELD</t>
  </si>
  <si>
    <t>VDB</t>
  </si>
  <si>
    <t>XIRR</t>
  </si>
  <si>
    <t>XNPV</t>
  </si>
  <si>
    <t>YIELD</t>
  </si>
  <si>
    <t>YIELDDISC</t>
  </si>
  <si>
    <t>YIELDMAT</t>
  </si>
  <si>
    <t>FunctionList</t>
  </si>
  <si>
    <t>Data</t>
  </si>
  <si>
    <t>Description</t>
  </si>
  <si>
    <t>Issue date</t>
  </si>
  <si>
    <t>First interest date</t>
  </si>
  <si>
    <t>Settlement date</t>
  </si>
  <si>
    <t>Coupon rate</t>
  </si>
  <si>
    <t>Par value</t>
  </si>
  <si>
    <t>Frequency is semiannual (see above)</t>
  </si>
  <si>
    <t>30/360 basis (see above)</t>
  </si>
  <si>
    <t>Formula</t>
  </si>
  <si>
    <t>Description (Result)</t>
  </si>
  <si>
    <t>Maturity date</t>
  </si>
  <si>
    <t>Percent coupon</t>
  </si>
  <si>
    <t>Cost</t>
  </si>
  <si>
    <t>Period</t>
  </si>
  <si>
    <t>Actual/actual basis (see above)</t>
  </si>
  <si>
    <t>Annual interest rate</t>
  </si>
  <si>
    <t>Price</t>
  </si>
  <si>
    <t>Redemption value</t>
  </si>
  <si>
    <t>Percent yield</t>
  </si>
  <si>
    <t>A</t>
  </si>
  <si>
    <t>Investment</t>
  </si>
  <si>
    <t>Number of years in the investment</t>
  </si>
  <si>
    <t>Amount of loan</t>
  </si>
  <si>
    <t>Interest paid for the first monthly payment of a loan with the above terms (-64814.8)</t>
  </si>
  <si>
    <t>Interest paid in the first year of a loan with the above terms (-533333)</t>
  </si>
  <si>
    <t>Return first year</t>
  </si>
  <si>
    <t>Return second year</t>
  </si>
  <si>
    <t>Return third year</t>
  </si>
  <si>
    <t>Return fourth year</t>
  </si>
  <si>
    <t>Return fifth year</t>
  </si>
  <si>
    <t>First coupon date</t>
  </si>
  <si>
    <t>Redemptive value</t>
  </si>
  <si>
    <t>The price per $100 face value of a security having an odd (short or long) first period, for the bond with the above terms (113.5977)</t>
  </si>
  <si>
    <t>The yield of a security that has an odd (short or long) first period, for the bond with the terms above (0.077245542 or 7.72%)</t>
  </si>
  <si>
    <t>Last interest date</t>
  </si>
  <si>
    <t>The price per $100 of a security having an odd (short or long) last coupon period, for a bond with the above terms (99.87829)</t>
  </si>
  <si>
    <t>The yield of a security that has an odd (short or long) last period, for the bond with the terms above (0.045192)</t>
  </si>
  <si>
    <t>Percent semiannual coupon</t>
  </si>
  <si>
    <t>Percent discount rate</t>
  </si>
  <si>
    <t>Monthly payment</t>
  </si>
  <si>
    <t>Amount of the loan</t>
  </si>
  <si>
    <t>Price per $100 face value</t>
  </si>
  <si>
    <t>Actual/360 basis</t>
  </si>
  <si>
    <t>Loan Amount</t>
  </si>
  <si>
    <t>Rate</t>
  </si>
  <si>
    <t>Term</t>
  </si>
  <si>
    <t>Months</t>
  </si>
  <si>
    <t>Negative, as the money is leaving the bank</t>
  </si>
  <si>
    <t>Total Paid</t>
  </si>
  <si>
    <t>=B3*B5</t>
  </si>
  <si>
    <t>=PMT(B2/12,B3,B1)</t>
  </si>
  <si>
    <t>Annual rate; divide by 12 in the function</t>
  </si>
  <si>
    <t>Months of the loan</t>
  </si>
  <si>
    <t>Annual rate of the loan with the above terms</t>
  </si>
  <si>
    <t>Payment</t>
  </si>
  <si>
    <t>=RATE(B1, B2, B3)*12</t>
  </si>
  <si>
    <t>Desired Payment</t>
  </si>
  <si>
    <t>Months; =15*12</t>
  </si>
  <si>
    <t>Negative, as it is money leaving your wallet</t>
  </si>
  <si>
    <t>=PV(B2/12,B3,B1)</t>
  </si>
  <si>
    <t>Don't forget that taxes, insurance, and escrow will be added to the</t>
  </si>
  <si>
    <t>desired payment in B1</t>
  </si>
  <si>
    <t>Nest Egg Today</t>
  </si>
  <si>
    <t>Monthly Withdrawal</t>
  </si>
  <si>
    <t>Interest Rate</t>
  </si>
  <si>
    <t>Value of retirement account</t>
  </si>
  <si>
    <t>Desired monthly withdrawal</t>
  </si>
  <si>
    <t>Assumed interest rate</t>
  </si>
  <si>
    <t>Years</t>
  </si>
  <si>
    <t>Month</t>
  </si>
  <si>
    <t>=NPER(B3/12,B2,B1)</t>
  </si>
  <si>
    <t>=B5/12</t>
  </si>
  <si>
    <t>Principal</t>
  </si>
  <si>
    <t>Interest</t>
  </si>
  <si>
    <t>Loan Amt</t>
  </si>
  <si>
    <t>=PPMT($B$2/12,A9,$B$3,$B$1)</t>
  </si>
  <si>
    <t>Age Now</t>
  </si>
  <si>
    <t>Retirement Age</t>
  </si>
  <si>
    <t>Number of Months</t>
  </si>
  <si>
    <t>Monthly Savings</t>
  </si>
  <si>
    <t>Future Value</t>
  </si>
  <si>
    <t>Savings Balance Now</t>
  </si>
  <si>
    <t>=(B2-B1)*12</t>
  </si>
  <si>
    <t>=FV(B5/12,B3,-B4,-B6)</t>
  </si>
  <si>
    <t>B9:</t>
  </si>
  <si>
    <t>C9:</t>
  </si>
  <si>
    <t>=IPMT($B$2/12,A9,$B$3,$B$1)</t>
  </si>
  <si>
    <t>First Payment</t>
  </si>
  <si>
    <t>Year</t>
  </si>
  <si>
    <t>Payment Numbers</t>
  </si>
  <si>
    <t>From</t>
  </si>
  <si>
    <t>Through</t>
  </si>
  <si>
    <t>=CUMIPMT($B$2/12,$B$3,$B$1,$C12,$D12,0)</t>
  </si>
  <si>
    <t>=CUMPRINC($B$2/12,$B$3,$B$1,$C12,$D12,0)</t>
  </si>
  <si>
    <t>Mortage Amt.</t>
  </si>
  <si>
    <t>Not necessary for the calculation, here FYI</t>
  </si>
  <si>
    <t>Cell D12 uses this in =13-MONTH(B5)</t>
  </si>
  <si>
    <t>Compounding Periods ----&gt;</t>
  </si>
  <si>
    <t>Mortgage Payment on 200K loan, 30 years</t>
  </si>
  <si>
    <t>=EFFECT($B$1,D4)</t>
  </si>
  <si>
    <t>Salvage Value</t>
  </si>
  <si>
    <t>Useful Life</t>
  </si>
  <si>
    <t>years</t>
  </si>
  <si>
    <t>Straight
Line</t>
  </si>
  <si>
    <t>Double
Declining</t>
  </si>
  <si>
    <t>Sum of
Years Digits</t>
  </si>
  <si>
    <t>B6:</t>
  </si>
  <si>
    <t>=SLN($B$1,$B$2,$B$3)</t>
  </si>
  <si>
    <t>C6:</t>
  </si>
  <si>
    <t>D6:</t>
  </si>
  <si>
    <t>E6:</t>
  </si>
  <si>
    <t>=DB($B$1,$B$2,$B$3,A6)</t>
  </si>
  <si>
    <t>=DDB($B$1,$B$2,$B$3,A6)</t>
  </si>
  <si>
    <t>=SYD($B$1,$B$2,$B$3,A6)</t>
  </si>
  <si>
    <t>VDB
NoSwitch=
FALSE</t>
  </si>
  <si>
    <t>VDB
NoSwitch=
TRUE</t>
  </si>
  <si>
    <t>TOTAL</t>
  </si>
  <si>
    <t>=VDB($B$1,$B$2,$B$3,$A6-1,$A6,2,FALSE)</t>
  </si>
  <si>
    <t>C6 Alt:</t>
  </si>
  <si>
    <t>=VDB($B$1,$B$2,$B$3,$A6-1,$A6,2,TRUE)</t>
  </si>
  <si>
    <t>=VDB($B$1,$B$2,$B$3,$A6-1,$A6)</t>
  </si>
  <si>
    <t>Start Date</t>
  </si>
  <si>
    <t>End Date</t>
  </si>
  <si>
    <t>B7:</t>
  </si>
  <si>
    <t>=VDB($B$1,$B$2,$B$3*365,$A7-$B$4,$B7-$B$4,2,FALSE)</t>
  </si>
  <si>
    <t>A7:</t>
  </si>
  <si>
    <t>=B4</t>
  </si>
  <si>
    <t>A8:</t>
  </si>
  <si>
    <t>=B7+1</t>
  </si>
  <si>
    <t>B8:</t>
  </si>
  <si>
    <t>=EOMONTH(A8,2)</t>
  </si>
  <si>
    <t>Cost of Business:</t>
  </si>
  <si>
    <t>Return from year 1:</t>
  </si>
  <si>
    <t>Return from year 2:</t>
  </si>
  <si>
    <t>Return from year 3:</t>
  </si>
  <si>
    <t>Return from year 5:</t>
  </si>
  <si>
    <t>Discount Rate</t>
  </si>
  <si>
    <t>B9: =NPV(B1,B3:B7)+B2</t>
  </si>
  <si>
    <t>Return from year 4:</t>
  </si>
  <si>
    <t>Internal Rates of Return:</t>
  </si>
  <si>
    <t>After 5 years:</t>
  </si>
  <si>
    <t>After 4 years:</t>
  </si>
  <si>
    <t>After 3 years:</t>
  </si>
  <si>
    <t>After 2 years:</t>
  </si>
  <si>
    <t>=IRR(B$2:B4,-0.5)</t>
  </si>
  <si>
    <t>=IRR(B$2:B5,0.01)</t>
  </si>
  <si>
    <t>=IRR(B$2:B6)</t>
  </si>
  <si>
    <t>=IRR(B$2:B7)</t>
  </si>
  <si>
    <t>Int. rate for $120K Loan</t>
  </si>
  <si>
    <t>Int. rate for reinvested profits</t>
  </si>
  <si>
    <t>=MIRR(B1:B6,B7,B8)</t>
  </si>
  <si>
    <t>Frequency</t>
  </si>
  <si>
    <t>30/360 basis</t>
  </si>
  <si>
    <t>Yield</t>
  </si>
  <si>
    <t>Percent Yield</t>
  </si>
  <si>
    <t>Buy the business</t>
  </si>
  <si>
    <t>Loss in year 1</t>
  </si>
  <si>
    <t>profit in year 3</t>
  </si>
  <si>
    <t>more profit in year 4</t>
  </si>
  <si>
    <t>profit in year 5</t>
  </si>
  <si>
    <t>sell the business</t>
  </si>
  <si>
    <t>=XNPV(B1,B2:B7,A2:A7)</t>
  </si>
  <si>
    <t>=XIRR(B2:B7,A2:A7)</t>
  </si>
  <si>
    <t># days in this coupon period</t>
  </si>
  <si>
    <t># days from beginning to settlement</t>
  </si>
  <si>
    <t># days from settlement to next coupon</t>
  </si>
  <si>
    <t>Previous coupon date</t>
  </si>
  <si>
    <t>Next coupon date</t>
  </si>
  <si>
    <t>Number of coupon dates remaining</t>
  </si>
  <si>
    <t>=COUPDAYS(B$1,B$2,B$3)</t>
  </si>
  <si>
    <t>=COUPDAYBS(B$1,B$2,B$3)</t>
  </si>
  <si>
    <t>=COUPDAYSNC(B$1,B$2,B$3)</t>
  </si>
  <si>
    <t>=COUPPCD(B$1,B$2,B$3)</t>
  </si>
  <si>
    <t>=COUPNCD(B$1,B$2,B$3)</t>
  </si>
  <si>
    <t>=COUPNUM(B$1,B$2,B$3)</t>
  </si>
  <si>
    <t>Settlement Date</t>
  </si>
  <si>
    <t>Maturity Date</t>
  </si>
  <si>
    <t>Basis</t>
  </si>
  <si>
    <t>=INTRATE(B1,B2,B3,B4,B5)</t>
  </si>
  <si>
    <t>Bond Discount Rate</t>
  </si>
  <si>
    <t>=DISC(B1,B2,B3,B4,B5)</t>
  </si>
  <si>
    <t>B = number of days in a year</t>
  </si>
  <si>
    <t>DSM = Days to Maturity</t>
  </si>
  <si>
    <t>DIM = Days from settlement to maturity</t>
  </si>
  <si>
    <t xml:space="preserve">30/360 basis </t>
  </si>
  <si>
    <t>=YIELDMAT(B10,B11,B12,B13,B14,B15)</t>
  </si>
  <si>
    <t>=PRICEMAT(B1,B2,B3,B4,B5,B6)</t>
  </si>
  <si>
    <t>Day Basis</t>
  </si>
  <si>
    <t>Bond Price</t>
  </si>
  <si>
    <t>=PRICEDISC(B2,B3,B4,B5,B6)</t>
  </si>
  <si>
    <t>=YIELDDISC(B10,B11,B12,B13,B14)</t>
  </si>
  <si>
    <t>Bond Equivalent Yield</t>
  </si>
  <si>
    <t>T-Bill Price</t>
  </si>
  <si>
    <t>T-Bill Yield</t>
  </si>
  <si>
    <t>=TBILLEQ(B1,B2,B3)</t>
  </si>
  <si>
    <t>=TBILLPRICE(B7,B8,B9)</t>
  </si>
  <si>
    <t>=TBILLYIELD(B13,B14,B15)</t>
  </si>
  <si>
    <t>Accrued Interest</t>
  </si>
  <si>
    <t>=ACCRINT(B1,B2,B3,B4,B5,B6,B7)</t>
  </si>
  <si>
    <t>=ACCRINTM(B12,B13,B14,B15,B16)</t>
  </si>
  <si>
    <t>Actual basis</t>
  </si>
  <si>
    <t>Nomenclature</t>
  </si>
  <si>
    <t>In</t>
  </si>
  <si>
    <t>DollarDE</t>
  </si>
  <si>
    <t>Fractions to Decimals</t>
  </si>
  <si>
    <t>Decimals to Fractions, in 16ths</t>
  </si>
  <si>
    <t>DollarFR</t>
  </si>
  <si>
    <t>=DOLLARFR(C4,16)</t>
  </si>
  <si>
    <t>Year 1</t>
  </si>
  <si>
    <t>Year 2</t>
  </si>
  <si>
    <t>Year 3</t>
  </si>
  <si>
    <t>=FVSCHEDULE(1000,B1:B3)</t>
  </si>
  <si>
    <t>Declining
Balance</t>
  </si>
  <si>
    <t>A9:</t>
  </si>
  <si>
    <t>=ROW(1:1)</t>
  </si>
  <si>
    <t xml:space="preserve">E12: </t>
  </si>
  <si>
    <t xml:space="preserve">F12: </t>
  </si>
  <si>
    <t xml:space="preserve">Note that saying False to NoSwitch is a </t>
  </si>
  <si>
    <t>double negative. You are saying that you</t>
  </si>
  <si>
    <t>do want to switch to SLN…</t>
  </si>
  <si>
    <t>Sample Files for Excel 2010 In Depth</t>
  </si>
  <si>
    <t>by Bill Jelen</t>
  </si>
  <si>
    <t>(ISBN 978-0-7897-4308-4)</t>
  </si>
  <si>
    <t>Chapter 13</t>
  </si>
  <si>
    <t>Financial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</si>
</sst>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00"/>
    <numFmt numFmtId="166" formatCode="0.0"/>
    <numFmt numFmtId="167" formatCode="_(* #,##0_);_(* \(#,##0\);_(* &quot;-&quot;??_);_(@_)"/>
    <numFmt numFmtId="168" formatCode="[$-409]mmm\-yy;@"/>
    <numFmt numFmtId="169" formatCode="m/d/yy;@"/>
    <numFmt numFmtId="170" formatCode="0.000%"/>
  </numFmts>
  <fonts count="29">
    <font>
      <sz val="10"/>
      <name val="Times New Roman"/>
    </font>
    <font>
      <sz val="10"/>
      <name val="Times New Roman"/>
      <family val="1"/>
    </font>
    <font>
      <sz val="8"/>
      <name val="Times New Roman"/>
      <family val="1"/>
    </font>
    <font>
      <sz val="9"/>
      <name val="Arial Narrow"/>
      <family val="2"/>
    </font>
    <font>
      <b/>
      <sz val="10"/>
      <name val="Times New Roman"/>
      <family val="1"/>
    </font>
    <font>
      <b/>
      <sz val="10"/>
      <name val="Times New Roman"/>
      <family val="1"/>
    </font>
    <font>
      <u/>
      <sz val="10"/>
      <color indexed="12"/>
      <name val="Times New Roman"/>
      <family val="1"/>
    </font>
    <font>
      <i/>
      <sz val="10"/>
      <name val="Times New Roman"/>
      <family val="1"/>
    </font>
    <font>
      <b/>
      <sz val="10"/>
      <color indexed="9"/>
      <name val="Times New Roman"/>
      <family val="1"/>
    </font>
    <font>
      <sz val="12"/>
      <name val="Courier"/>
      <family val="3"/>
    </font>
    <font>
      <b/>
      <sz val="18"/>
      <color indexed="62"/>
      <name val="Cambria"/>
      <family val="1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18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Times New Roman"/>
      <family val="1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i/>
      <sz val="11"/>
      <color rgb="FF7F7F7F"/>
      <name val="Calibri"/>
      <family val="2"/>
      <scheme val="minor"/>
    </font>
    <font>
      <b/>
      <sz val="11"/>
      <color theme="0"/>
      <name val="Calibri"/>
      <family val="2"/>
    </font>
    <font>
      <sz val="10"/>
      <color theme="0"/>
      <name val="Times New Roman"/>
      <family val="1"/>
    </font>
    <font>
      <sz val="10"/>
      <name val="Axel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8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8"/>
        <bgColor indexed="8"/>
      </patternFill>
    </fill>
  </fills>
  <borders count="10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31"/>
      </left>
      <right style="thin">
        <color indexed="62"/>
      </right>
      <top style="thin">
        <color indexed="31"/>
      </top>
      <bottom style="thin">
        <color indexed="62"/>
      </bottom>
      <diagonal/>
    </border>
    <border>
      <left style="double">
        <color indexed="11"/>
      </left>
      <right style="double">
        <color indexed="11"/>
      </right>
      <top style="double">
        <color indexed="11"/>
      </top>
      <bottom style="double">
        <color indexed="1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49">
    <xf numFmtId="0" fontId="0" fillId="0" borderId="0"/>
    <xf numFmtId="0" fontId="8" fillId="4" borderId="0" applyNumberFormat="0"/>
    <xf numFmtId="0" fontId="20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15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0" fillId="16" borderId="0" applyNumberFormat="0" applyBorder="0" applyAlignment="0" applyProtection="0"/>
    <xf numFmtId="0" fontId="15" fillId="17" borderId="0" applyNumberFormat="0" applyBorder="0" applyAlignment="0" applyProtection="0"/>
    <xf numFmtId="0" fontId="20" fillId="3" borderId="1" applyNumberFormat="0" applyAlignment="0" applyProtection="0"/>
    <xf numFmtId="0" fontId="2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8" fillId="2" borderId="5" applyNumberFormat="0" applyAlignment="0" applyProtection="0"/>
    <xf numFmtId="0" fontId="21" fillId="21" borderId="6" applyNumberFormat="0" applyFont="0" applyAlignment="0" applyProtection="0"/>
    <xf numFmtId="0" fontId="16" fillId="21" borderId="0" applyNumberFormat="0" applyBorder="0" applyAlignment="0" applyProtection="0"/>
    <xf numFmtId="0" fontId="21" fillId="9" borderId="7" applyNumberFormat="0" applyFont="0" applyAlignment="0" applyProtection="0"/>
    <xf numFmtId="0" fontId="19" fillId="22" borderId="8" applyNumberFormat="0" applyAlignment="0" applyProtection="0"/>
    <xf numFmtId="0" fontId="10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8" fillId="0" borderId="0"/>
  </cellStyleXfs>
  <cellXfs count="82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0" fontId="0" fillId="0" borderId="0" xfId="0" applyAlignment="1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15" fontId="0" fillId="0" borderId="0" xfId="0" applyNumberFormat="1" applyAlignment="1">
      <alignment wrapText="1"/>
    </xf>
    <xf numFmtId="10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5" fillId="0" borderId="0" xfId="0" applyFont="1" applyAlignment="1">
      <alignment horizontal="center" vertical="center"/>
    </xf>
    <xf numFmtId="15" fontId="0" fillId="0" borderId="0" xfId="0" applyNumberFormat="1" applyAlignment="1"/>
    <xf numFmtId="10" fontId="0" fillId="0" borderId="0" xfId="0" applyNumberFormat="1" applyAlignment="1"/>
    <xf numFmtId="3" fontId="0" fillId="0" borderId="0" xfId="0" applyNumberFormat="1" applyAlignment="1"/>
    <xf numFmtId="6" fontId="0" fillId="0" borderId="0" xfId="0" applyNumberFormat="1" applyAlignment="1"/>
    <xf numFmtId="9" fontId="0" fillId="0" borderId="0" xfId="0" applyNumberFormat="1" applyAlignment="1"/>
    <xf numFmtId="8" fontId="0" fillId="0" borderId="0" xfId="0" applyNumberFormat="1" applyAlignment="1"/>
    <xf numFmtId="0" fontId="5" fillId="0" borderId="0" xfId="0" applyFont="1" applyAlignment="1"/>
    <xf numFmtId="0" fontId="6" fillId="0" borderId="0" xfId="39" applyAlignment="1" applyProtection="1"/>
    <xf numFmtId="0" fontId="0" fillId="0" borderId="0" xfId="0" applyAlignment="1">
      <alignment horizontal="left"/>
    </xf>
    <xf numFmtId="9" fontId="0" fillId="0" borderId="0" xfId="0" applyNumberFormat="1"/>
    <xf numFmtId="8" fontId="0" fillId="0" borderId="0" xfId="0" applyNumberFormat="1"/>
    <xf numFmtId="0" fontId="0" fillId="0" borderId="0" xfId="0" quotePrefix="1" applyAlignment="1">
      <alignment horizontal="left"/>
    </xf>
    <xf numFmtId="0" fontId="7" fillId="0" borderId="0" xfId="0" quotePrefix="1" applyFont="1" applyAlignment="1">
      <alignment horizontal="left"/>
    </xf>
    <xf numFmtId="0" fontId="8" fillId="4" borderId="0" xfId="1"/>
    <xf numFmtId="8" fontId="8" fillId="4" borderId="0" xfId="1" applyNumberFormat="1"/>
    <xf numFmtId="164" fontId="0" fillId="0" borderId="0" xfId="0" applyNumberFormat="1"/>
    <xf numFmtId="166" fontId="0" fillId="0" borderId="0" xfId="0" applyNumberFormat="1"/>
    <xf numFmtId="167" fontId="0" fillId="0" borderId="0" xfId="29" applyNumberFormat="1" applyFont="1"/>
    <xf numFmtId="0" fontId="0" fillId="0" borderId="0" xfId="0" applyAlignment="1">
      <alignment horizontal="center"/>
    </xf>
    <xf numFmtId="0" fontId="9" fillId="0" borderId="0" xfId="0" applyFont="1"/>
    <xf numFmtId="168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/>
    <xf numFmtId="0" fontId="7" fillId="0" borderId="0" xfId="0" applyFont="1"/>
    <xf numFmtId="0" fontId="0" fillId="0" borderId="0" xfId="0" quotePrefix="1" applyAlignment="1">
      <alignment horizontal="right" wrapText="1"/>
    </xf>
    <xf numFmtId="14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  <xf numFmtId="2" fontId="0" fillId="0" borderId="0" xfId="0" applyNumberFormat="1"/>
    <xf numFmtId="10" fontId="0" fillId="0" borderId="0" xfId="0" applyNumberFormat="1"/>
    <xf numFmtId="14" fontId="0" fillId="0" borderId="0" xfId="0" quotePrefix="1" applyNumberFormat="1" applyAlignment="1">
      <alignment horizontal="right"/>
    </xf>
    <xf numFmtId="0" fontId="0" fillId="0" borderId="0" xfId="0" applyAlignment="1">
      <alignment horizontal="center"/>
    </xf>
    <xf numFmtId="0" fontId="13" fillId="0" borderId="0" xfId="38"/>
    <xf numFmtId="0" fontId="25" fillId="0" borderId="0" xfId="33"/>
    <xf numFmtId="0" fontId="19" fillId="22" borderId="8" xfId="44"/>
    <xf numFmtId="8" fontId="19" fillId="22" borderId="8" xfId="44" applyNumberFormat="1"/>
    <xf numFmtId="0" fontId="25" fillId="0" borderId="0" xfId="33" applyAlignment="1"/>
    <xf numFmtId="0" fontId="13" fillId="0" borderId="0" xfId="38" quotePrefix="1" applyAlignment="1">
      <alignment horizontal="left"/>
    </xf>
    <xf numFmtId="10" fontId="19" fillId="22" borderId="8" xfId="44" applyNumberFormat="1"/>
    <xf numFmtId="0" fontId="25" fillId="0" borderId="0" xfId="33" quotePrefix="1" applyAlignment="1">
      <alignment horizontal="left"/>
    </xf>
    <xf numFmtId="2" fontId="19" fillId="22" borderId="8" xfId="44" applyNumberFormat="1"/>
    <xf numFmtId="0" fontId="13" fillId="0" borderId="0" xfId="38" applyAlignment="1"/>
    <xf numFmtId="0" fontId="13" fillId="0" borderId="0" xfId="38" applyAlignment="1">
      <alignment horizontal="center"/>
    </xf>
    <xf numFmtId="0" fontId="13" fillId="0" borderId="0" xfId="38" quotePrefix="1" applyAlignment="1">
      <alignment horizontal="right"/>
    </xf>
    <xf numFmtId="0" fontId="13" fillId="0" borderId="0" xfId="38" applyAlignment="1">
      <alignment horizontal="right"/>
    </xf>
    <xf numFmtId="4" fontId="19" fillId="22" borderId="8" xfId="44" applyNumberFormat="1"/>
    <xf numFmtId="0" fontId="13" fillId="0" borderId="0" xfId="38" applyAlignment="1">
      <alignment horizontal="center" vertical="center"/>
    </xf>
    <xf numFmtId="0" fontId="19" fillId="22" borderId="8" xfId="44" applyAlignment="1"/>
    <xf numFmtId="0" fontId="13" fillId="0" borderId="0" xfId="38" applyAlignment="1">
      <alignment wrapText="1"/>
    </xf>
    <xf numFmtId="0" fontId="13" fillId="0" borderId="0" xfId="38" applyAlignment="1">
      <alignment horizontal="right" wrapText="1"/>
    </xf>
    <xf numFmtId="0" fontId="26" fillId="0" borderId="0" xfId="38" quotePrefix="1" applyFont="1" applyAlignment="1">
      <alignment horizontal="right"/>
    </xf>
    <xf numFmtId="8" fontId="27" fillId="0" borderId="0" xfId="0" applyNumberFormat="1" applyFont="1"/>
    <xf numFmtId="0" fontId="13" fillId="0" borderId="0" xfId="38" quotePrefix="1" applyAlignment="1">
      <alignment horizontal="right" wrapText="1"/>
    </xf>
    <xf numFmtId="0" fontId="25" fillId="0" borderId="0" xfId="33" applyAlignment="1">
      <alignment horizontal="left" indent="3"/>
    </xf>
    <xf numFmtId="3" fontId="19" fillId="22" borderId="8" xfId="44" applyNumberFormat="1"/>
    <xf numFmtId="170" fontId="0" fillId="0" borderId="0" xfId="0" applyNumberFormat="1"/>
    <xf numFmtId="164" fontId="19" fillId="22" borderId="8" xfId="44" applyNumberFormat="1"/>
    <xf numFmtId="0" fontId="19" fillId="22" borderId="8" xfId="44" quotePrefix="1" applyAlignment="1">
      <alignment horizontal="left"/>
    </xf>
    <xf numFmtId="44" fontId="19" fillId="22" borderId="8" xfId="44" applyNumberFormat="1"/>
    <xf numFmtId="169" fontId="19" fillId="22" borderId="8" xfId="44" applyNumberFormat="1"/>
    <xf numFmtId="170" fontId="0" fillId="0" borderId="0" xfId="0" applyNumberFormat="1" applyAlignment="1"/>
    <xf numFmtId="170" fontId="19" fillId="22" borderId="8" xfId="44" applyNumberFormat="1"/>
    <xf numFmtId="165" fontId="19" fillId="22" borderId="8" xfId="44" applyNumberFormat="1"/>
    <xf numFmtId="0" fontId="13" fillId="0" borderId="0" xfId="38" quotePrefix="1" applyAlignment="1">
      <alignment horizontal="center"/>
    </xf>
    <xf numFmtId="1" fontId="19" fillId="22" borderId="8" xfId="44" applyNumberFormat="1"/>
    <xf numFmtId="0" fontId="13" fillId="0" borderId="0" xfId="38" applyAlignment="1">
      <alignment horizontal="center"/>
    </xf>
    <xf numFmtId="0" fontId="28" fillId="0" borderId="0" xfId="48"/>
    <xf numFmtId="0" fontId="0" fillId="0" borderId="0" xfId="48" applyFont="1"/>
    <xf numFmtId="0" fontId="0" fillId="0" borderId="0" xfId="48" applyFont="1" applyFill="1"/>
    <xf numFmtId="0" fontId="1" fillId="0" borderId="0" xfId="48" applyFont="1"/>
    <xf numFmtId="0" fontId="0" fillId="0" borderId="0" xfId="48" quotePrefix="1" applyFont="1"/>
    <xf numFmtId="0" fontId="28" fillId="0" borderId="0" xfId="48" quotePrefix="1"/>
  </cellXfs>
  <cellStyles count="49">
    <cellStyle name="aaFunction" xfId="1"/>
    <cellStyle name="Accent1" xfId="2" builtinId="29" customBuiltin="1"/>
    <cellStyle name="Accent1 - 20%" xfId="3"/>
    <cellStyle name="Accent1 - 40%" xfId="4"/>
    <cellStyle name="Accent1 - 60%" xfId="5"/>
    <cellStyle name="Accent2" xfId="6" builtinId="33" customBuiltin="1"/>
    <cellStyle name="Accent2 - 20%" xfId="7"/>
    <cellStyle name="Accent2 - 40%" xfId="8"/>
    <cellStyle name="Accent2 - 60%" xfId="9"/>
    <cellStyle name="Accent3" xfId="10" builtinId="37" customBuiltin="1"/>
    <cellStyle name="Accent3 - 20%" xfId="11"/>
    <cellStyle name="Accent3 - 40%" xfId="12"/>
    <cellStyle name="Accent3 - 60%" xfId="13"/>
    <cellStyle name="Accent4" xfId="14" builtinId="41" customBuiltin="1"/>
    <cellStyle name="Accent4 - 20%" xfId="15"/>
    <cellStyle name="Accent4 - 40%" xfId="16"/>
    <cellStyle name="Accent4 - 60%" xfId="17"/>
    <cellStyle name="Accent5" xfId="18" builtinId="45" customBuiltin="1"/>
    <cellStyle name="Accent5 - 20%" xfId="19"/>
    <cellStyle name="Accent5 - 40%" xfId="20"/>
    <cellStyle name="Accent5 - 60%" xfId="21"/>
    <cellStyle name="Accent6" xfId="22" builtinId="49" customBuiltin="1"/>
    <cellStyle name="Accent6 - 20%" xfId="23"/>
    <cellStyle name="Accent6 - 40%" xfId="24"/>
    <cellStyle name="Accent6 - 60%" xfId="25"/>
    <cellStyle name="Bad" xfId="26" builtinId="27" customBuiltin="1"/>
    <cellStyle name="Calculation" xfId="27" builtinId="22" customBuiltin="1"/>
    <cellStyle name="Check Cell" xfId="28" builtinId="23" customBuiltin="1"/>
    <cellStyle name="Comma" xfId="29" builtinId="3"/>
    <cellStyle name="Emphasis 1" xfId="30"/>
    <cellStyle name="Emphasis 2" xfId="31"/>
    <cellStyle name="Emphasis 3" xfId="32"/>
    <cellStyle name="Explanatory Text" xfId="33" builtinId="53"/>
    <cellStyle name="Good" xfId="34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yperlink" xfId="39" builtinId="8"/>
    <cellStyle name="Input" xfId="40" builtinId="20" customBuiltin="1"/>
    <cellStyle name="Linked Cell" xfId="41" builtinId="24" customBuiltin="1"/>
    <cellStyle name="Neutral" xfId="42" builtinId="28" customBuiltin="1"/>
    <cellStyle name="Normal" xfId="0" builtinId="0"/>
    <cellStyle name="Normal 2" xfId="48"/>
    <cellStyle name="Note" xfId="43" builtinId="10" customBuiltin="1"/>
    <cellStyle name="Output" xfId="44" builtinId="21" customBuiltin="1"/>
    <cellStyle name="Sheet Title" xfId="45"/>
    <cellStyle name="Total" xfId="46" builtinId="25" customBuiltin="1"/>
    <cellStyle name="Warning Text" xfId="47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0</xdr:col>
      <xdr:colOff>304800</xdr:colOff>
      <xdr:row>28</xdr:row>
      <xdr:rowOff>142875</xdr:rowOff>
    </xdr:to>
    <xdr:sp macro="" textlink="">
      <xdr:nvSpPr>
        <xdr:cNvPr id="1043" name="AutoShape 2" descr="Selecting an example from Help"/>
        <xdr:cNvSpPr>
          <a:spLocks noChangeAspect="1" noChangeArrowheads="1"/>
        </xdr:cNvSpPr>
      </xdr:nvSpPr>
      <xdr:spPr bwMode="auto">
        <a:xfrm>
          <a:off x="0" y="4371975"/>
          <a:ext cx="304800" cy="304800"/>
        </a:xfrm>
        <a:prstGeom prst="rect">
          <a:avLst/>
        </a:prstGeom>
        <a:extLst/>
      </xdr:spPr>
    </xdr:sp>
    <xdr:clientData/>
  </xdr:twoCellAnchor>
  <xdr:twoCellAnchor>
    <xdr:from>
      <xdr:col>0</xdr:col>
      <xdr:colOff>0</xdr:colOff>
      <xdr:row>54</xdr:row>
      <xdr:rowOff>0</xdr:rowOff>
    </xdr:from>
    <xdr:to>
      <xdr:col>0</xdr:col>
      <xdr:colOff>304800</xdr:colOff>
      <xdr:row>55</xdr:row>
      <xdr:rowOff>142875</xdr:rowOff>
    </xdr:to>
    <xdr:sp macro="" textlink="">
      <xdr:nvSpPr>
        <xdr:cNvPr id="1044" name="AutoShape 4" descr="Selecting an example from Help"/>
        <xdr:cNvSpPr>
          <a:spLocks noChangeAspect="1" noChangeArrowheads="1"/>
        </xdr:cNvSpPr>
      </xdr:nvSpPr>
      <xdr:spPr bwMode="auto">
        <a:xfrm>
          <a:off x="0" y="8743950"/>
          <a:ext cx="304800" cy="304800"/>
        </a:xfrm>
        <a:prstGeom prst="rect">
          <a:avLst/>
        </a:prstGeom>
        <a:extLst/>
      </xdr:spPr>
    </xdr:sp>
    <xdr:clientData/>
  </xdr:twoCellAnchor>
  <xdr:twoCellAnchor>
    <xdr:from>
      <xdr:col>0</xdr:col>
      <xdr:colOff>0</xdr:colOff>
      <xdr:row>82</xdr:row>
      <xdr:rowOff>0</xdr:rowOff>
    </xdr:from>
    <xdr:to>
      <xdr:col>0</xdr:col>
      <xdr:colOff>304800</xdr:colOff>
      <xdr:row>83</xdr:row>
      <xdr:rowOff>142875</xdr:rowOff>
    </xdr:to>
    <xdr:sp macro="" textlink="">
      <xdr:nvSpPr>
        <xdr:cNvPr id="1045" name="AutoShape 6" descr="Selecting an example from Help"/>
        <xdr:cNvSpPr>
          <a:spLocks noChangeAspect="1" noChangeArrowheads="1"/>
        </xdr:cNvSpPr>
      </xdr:nvSpPr>
      <xdr:spPr bwMode="auto">
        <a:xfrm>
          <a:off x="0" y="13277850"/>
          <a:ext cx="304800" cy="304800"/>
        </a:xfrm>
        <a:prstGeom prst="rect">
          <a:avLst/>
        </a:prstGeom>
        <a:extLst/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304800</xdr:colOff>
      <xdr:row>23</xdr:row>
      <xdr:rowOff>142875</xdr:rowOff>
    </xdr:to>
    <xdr:sp macro="" textlink="">
      <xdr:nvSpPr>
        <xdr:cNvPr id="1046" name="AutoShape 1" descr="Show">
          <a:hlinkClick xmlns:r="http://schemas.openxmlformats.org/officeDocument/2006/relationships" r:id=""/>
        </xdr:cNvPr>
        <xdr:cNvSpPr>
          <a:spLocks noChangeAspect="1" noChangeArrowheads="1"/>
        </xdr:cNvSpPr>
      </xdr:nvSpPr>
      <xdr:spPr bwMode="auto">
        <a:xfrm>
          <a:off x="0" y="3562350"/>
          <a:ext cx="304800" cy="304800"/>
        </a:xfrm>
        <a:prstGeom prst="rect">
          <a:avLst/>
        </a:prstGeom>
        <a:extLst/>
      </xdr:spPr>
    </xdr:sp>
    <xdr:clientData/>
  </xdr:twoCellAnchor>
  <xdr:twoCellAnchor>
    <xdr:from>
      <xdr:col>0</xdr:col>
      <xdr:colOff>0</xdr:colOff>
      <xdr:row>49</xdr:row>
      <xdr:rowOff>0</xdr:rowOff>
    </xdr:from>
    <xdr:to>
      <xdr:col>0</xdr:col>
      <xdr:colOff>304800</xdr:colOff>
      <xdr:row>50</xdr:row>
      <xdr:rowOff>142875</xdr:rowOff>
    </xdr:to>
    <xdr:sp macro="" textlink="">
      <xdr:nvSpPr>
        <xdr:cNvPr id="1047" name="AutoShape 3" descr="Show">
          <a:hlinkClick xmlns:r="http://schemas.openxmlformats.org/officeDocument/2006/relationships" r:id=""/>
        </xdr:cNvPr>
        <xdr:cNvSpPr>
          <a:spLocks noChangeAspect="1" noChangeArrowheads="1"/>
        </xdr:cNvSpPr>
      </xdr:nvSpPr>
      <xdr:spPr bwMode="auto">
        <a:xfrm>
          <a:off x="0" y="7934325"/>
          <a:ext cx="304800" cy="304800"/>
        </a:xfrm>
        <a:prstGeom prst="rect">
          <a:avLst/>
        </a:prstGeom>
        <a:extLst/>
      </xdr:spPr>
    </xdr:sp>
    <xdr:clientData/>
  </xdr:twoCellAnchor>
  <xdr:twoCellAnchor>
    <xdr:from>
      <xdr:col>0</xdr:col>
      <xdr:colOff>0</xdr:colOff>
      <xdr:row>77</xdr:row>
      <xdr:rowOff>0</xdr:rowOff>
    </xdr:from>
    <xdr:to>
      <xdr:col>0</xdr:col>
      <xdr:colOff>304800</xdr:colOff>
      <xdr:row>78</xdr:row>
      <xdr:rowOff>142875</xdr:rowOff>
    </xdr:to>
    <xdr:sp macro="" textlink="">
      <xdr:nvSpPr>
        <xdr:cNvPr id="1048" name="AutoShape 5" descr="Show">
          <a:hlinkClick xmlns:r="http://schemas.openxmlformats.org/officeDocument/2006/relationships" r:id=""/>
        </xdr:cNvPr>
        <xdr:cNvSpPr>
          <a:spLocks noChangeAspect="1" noChangeArrowheads="1"/>
        </xdr:cNvSpPr>
      </xdr:nvSpPr>
      <xdr:spPr bwMode="auto">
        <a:xfrm>
          <a:off x="0" y="12468225"/>
          <a:ext cx="304800" cy="304800"/>
        </a:xfrm>
        <a:prstGeom prst="rect">
          <a:avLst/>
        </a:prstGeom>
        <a:ex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4</xdr:col>
      <xdr:colOff>200025</xdr:colOff>
      <xdr:row>10</xdr:row>
      <xdr:rowOff>133350</xdr:rowOff>
    </xdr:to>
    <xdr:pic>
      <xdr:nvPicPr>
        <xdr:cNvPr id="30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/>
        </a:blip>
        <a:srcRect/>
        <a:stretch>
          <a:fillRect/>
        </a:stretch>
      </xdr:blipFill>
      <xdr:spPr bwMode="auto">
        <a:xfrm>
          <a:off x="0" y="1295400"/>
          <a:ext cx="2895600" cy="457200"/>
        </a:xfrm>
        <a:prstGeom prst="rect">
          <a:avLst/>
        </a:prstGeom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2</xdr:col>
      <xdr:colOff>371475</xdr:colOff>
      <xdr:row>11</xdr:row>
      <xdr:rowOff>95250</xdr:rowOff>
    </xdr:to>
    <xdr:pic>
      <xdr:nvPicPr>
        <xdr:cNvPr id="20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/>
        </a:blip>
        <a:srcRect/>
        <a:stretch>
          <a:fillRect/>
        </a:stretch>
      </xdr:blipFill>
      <xdr:spPr bwMode="auto">
        <a:xfrm>
          <a:off x="0" y="1457325"/>
          <a:ext cx="2181225" cy="419100"/>
        </a:xfrm>
        <a:prstGeom prst="rect">
          <a:avLst/>
        </a:prstGeom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D2:H22"/>
  <sheetViews>
    <sheetView tabSelected="1" workbookViewId="0">
      <selection activeCell="D9" sqref="D9"/>
    </sheetView>
  </sheetViews>
  <sheetFormatPr defaultRowHeight="12.75"/>
  <cols>
    <col min="1" max="16384" width="9.33203125" style="76"/>
  </cols>
  <sheetData>
    <row r="2" spans="4:8">
      <c r="D2" s="76" t="s">
        <v>275</v>
      </c>
    </row>
    <row r="3" spans="4:8">
      <c r="D3" s="76" t="s">
        <v>276</v>
      </c>
    </row>
    <row r="4" spans="4:8">
      <c r="D4" s="76" t="s">
        <v>277</v>
      </c>
    </row>
    <row r="6" spans="4:8">
      <c r="D6" s="77" t="s">
        <v>278</v>
      </c>
    </row>
    <row r="7" spans="4:8">
      <c r="D7" s="77" t="s">
        <v>279</v>
      </c>
    </row>
    <row r="9" spans="4:8">
      <c r="D9" s="78"/>
    </row>
    <row r="11" spans="4:8">
      <c r="G11" s="79"/>
      <c r="H11" s="77"/>
    </row>
    <row r="12" spans="4:8">
      <c r="D12" s="78"/>
      <c r="G12" s="80"/>
      <c r="H12" s="77"/>
    </row>
    <row r="13" spans="4:8">
      <c r="D13" s="77"/>
      <c r="G13" s="80"/>
      <c r="H13" s="77"/>
    </row>
    <row r="14" spans="4:8">
      <c r="D14" s="77"/>
      <c r="G14" s="80"/>
      <c r="H14" s="77"/>
    </row>
    <row r="15" spans="4:8">
      <c r="D15" s="77"/>
      <c r="G15" s="80"/>
      <c r="H15" s="77"/>
    </row>
    <row r="16" spans="4:8">
      <c r="D16" s="77"/>
      <c r="H16" s="77"/>
    </row>
    <row r="17" spans="4:8">
      <c r="D17" s="77"/>
      <c r="G17" s="81"/>
      <c r="H17" s="77"/>
    </row>
    <row r="18" spans="4:8">
      <c r="D18" s="77"/>
      <c r="H18" s="77"/>
    </row>
    <row r="19" spans="4:8">
      <c r="D19" s="77"/>
      <c r="H19" s="77"/>
    </row>
    <row r="20" spans="4:8">
      <c r="D20" s="77"/>
      <c r="H20" s="78"/>
    </row>
    <row r="21" spans="4:8">
      <c r="D21" s="78"/>
      <c r="H21" s="78"/>
    </row>
    <row r="22" spans="4:8">
      <c r="D22" s="78"/>
    </row>
  </sheetData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B8"/>
  <sheetViews>
    <sheetView zoomScale="190" zoomScaleNormal="190" workbookViewId="0">
      <selection activeCell="A7" sqref="A7"/>
    </sheetView>
  </sheetViews>
  <sheetFormatPr defaultRowHeight="12.75"/>
  <cols>
    <col min="1" max="1" width="13" bestFit="1" customWidth="1"/>
    <col min="2" max="2" width="77.5" bestFit="1" customWidth="1"/>
  </cols>
  <sheetData>
    <row r="1" spans="1:2" ht="15">
      <c r="A1" s="56" t="s">
        <v>54</v>
      </c>
      <c r="B1" s="56" t="s">
        <v>55</v>
      </c>
    </row>
    <row r="2" spans="1:2" ht="15">
      <c r="A2" s="14">
        <v>0.1</v>
      </c>
      <c r="B2" s="46" t="s">
        <v>70</v>
      </c>
    </row>
    <row r="3" spans="1:2" ht="15">
      <c r="A3" s="3">
        <v>1</v>
      </c>
      <c r="B3" s="46" t="s">
        <v>68</v>
      </c>
    </row>
    <row r="4" spans="1:2" ht="15">
      <c r="A4" s="3">
        <v>3</v>
      </c>
      <c r="B4" s="46" t="s">
        <v>76</v>
      </c>
    </row>
    <row r="5" spans="1:2" ht="15">
      <c r="A5" s="3">
        <v>8000000</v>
      </c>
      <c r="B5" s="46" t="s">
        <v>77</v>
      </c>
    </row>
    <row r="6" spans="1:2" ht="15">
      <c r="A6" s="56" t="s">
        <v>63</v>
      </c>
      <c r="B6" s="56" t="s">
        <v>64</v>
      </c>
    </row>
    <row r="7" spans="1:2" ht="15">
      <c r="A7" s="57">
        <f>ISPMT(A2/12,A3,A4*12,A5)</f>
        <v>-64814.814814814818</v>
      </c>
      <c r="B7" s="46" t="s">
        <v>78</v>
      </c>
    </row>
    <row r="8" spans="1:2" ht="15">
      <c r="A8" s="57">
        <f>ISPMT(A2,1,A4,A5)</f>
        <v>-533333.33333333337</v>
      </c>
      <c r="B8" s="46" t="s">
        <v>79</v>
      </c>
    </row>
  </sheetData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20"/>
  <sheetViews>
    <sheetView zoomScale="160" zoomScaleNormal="160" workbookViewId="0">
      <selection activeCell="D6" sqref="D6"/>
    </sheetView>
  </sheetViews>
  <sheetFormatPr defaultRowHeight="12.75"/>
  <cols>
    <col min="1" max="1" width="15.6640625" bestFit="1" customWidth="1"/>
    <col min="2" max="3" width="12.1640625" bestFit="1" customWidth="1"/>
    <col min="4" max="4" width="12" bestFit="1" customWidth="1"/>
    <col min="5" max="5" width="13.5" customWidth="1"/>
    <col min="6" max="7" width="12" bestFit="1" customWidth="1"/>
  </cols>
  <sheetData>
    <row r="1" spans="1:7" ht="15">
      <c r="A1" s="42" t="s">
        <v>67</v>
      </c>
      <c r="B1">
        <v>120000</v>
      </c>
    </row>
    <row r="2" spans="1:7" ht="15">
      <c r="A2" s="42" t="s">
        <v>155</v>
      </c>
      <c r="B2">
        <v>20000</v>
      </c>
    </row>
    <row r="3" spans="1:7" ht="15">
      <c r="A3" s="42" t="s">
        <v>156</v>
      </c>
      <c r="B3">
        <v>10</v>
      </c>
      <c r="C3" s="43" t="s">
        <v>157</v>
      </c>
    </row>
    <row r="5" spans="1:7" ht="30">
      <c r="A5" s="52" t="s">
        <v>143</v>
      </c>
      <c r="B5" s="59" t="s">
        <v>158</v>
      </c>
      <c r="C5" s="59" t="s">
        <v>267</v>
      </c>
      <c r="D5" s="59" t="s">
        <v>159</v>
      </c>
      <c r="E5" s="59" t="s">
        <v>160</v>
      </c>
      <c r="F5" s="60" t="s">
        <v>47</v>
      </c>
      <c r="G5" s="53"/>
    </row>
    <row r="6" spans="1:7">
      <c r="A6" s="28">
        <v>1</v>
      </c>
      <c r="B6" s="20">
        <f>SLN($B$1,$B$2,$B$3)</f>
        <v>10000</v>
      </c>
      <c r="C6" s="20">
        <f>DB($B$1,$B$2,$B$3,A6)</f>
        <v>19680</v>
      </c>
      <c r="D6" s="20">
        <f>DDB($B$1,$B$2,$B$3,A6)</f>
        <v>24000</v>
      </c>
      <c r="E6" s="20">
        <f>SYD($B$1,$B$2,$B$3,A6)</f>
        <v>18181.81818181818</v>
      </c>
      <c r="F6" s="61">
        <f>VDB($B$1,$B$2,$B$3,$A6-1,$A6,2,FALSE)</f>
        <v>24000</v>
      </c>
      <c r="G6" s="20"/>
    </row>
    <row r="7" spans="1:7">
      <c r="A7" s="28">
        <v>2</v>
      </c>
      <c r="B7" s="20">
        <f t="shared" ref="B7:B15" si="0">SLN($B$1,$B$2,$B$3)</f>
        <v>10000</v>
      </c>
      <c r="C7" s="20">
        <f t="shared" ref="C7:C15" si="1">DB($B$1,$B$2,$B$3,A7)</f>
        <v>16452.48</v>
      </c>
      <c r="D7" s="20">
        <f t="shared" ref="D7:D15" si="2">DDB($B$1,$B$2,$B$3,A7)</f>
        <v>19200</v>
      </c>
      <c r="E7" s="20">
        <f t="shared" ref="E7:E15" si="3">SYD($B$1,$B$2,$B$3,A7)</f>
        <v>16363.636363636364</v>
      </c>
      <c r="F7" s="61">
        <f t="shared" ref="F7:F15" si="4">VDB($B$1,$B$2,$B$3,$A7-1,$A7,2,FALSE)</f>
        <v>19200</v>
      </c>
      <c r="G7" s="20"/>
    </row>
    <row r="8" spans="1:7">
      <c r="A8" s="28">
        <v>3</v>
      </c>
      <c r="B8" s="20">
        <f t="shared" si="0"/>
        <v>10000</v>
      </c>
      <c r="C8" s="20">
        <f t="shared" si="1"/>
        <v>13754.273280000001</v>
      </c>
      <c r="D8" s="20">
        <f t="shared" si="2"/>
        <v>15360.000000000004</v>
      </c>
      <c r="E8" s="20">
        <f t="shared" si="3"/>
        <v>14545.454545454546</v>
      </c>
      <c r="F8" s="61">
        <f t="shared" si="4"/>
        <v>15360</v>
      </c>
      <c r="G8" s="20"/>
    </row>
    <row r="9" spans="1:7">
      <c r="A9" s="28">
        <v>4</v>
      </c>
      <c r="B9" s="20">
        <f t="shared" si="0"/>
        <v>10000</v>
      </c>
      <c r="C9" s="20">
        <f t="shared" si="1"/>
        <v>11498.572462079999</v>
      </c>
      <c r="D9" s="20">
        <f t="shared" si="2"/>
        <v>12288.000000000004</v>
      </c>
      <c r="E9" s="20">
        <f t="shared" si="3"/>
        <v>12727.272727272728</v>
      </c>
      <c r="F9" s="61">
        <f t="shared" si="4"/>
        <v>12288</v>
      </c>
      <c r="G9" s="20"/>
    </row>
    <row r="10" spans="1:7">
      <c r="A10" s="28">
        <v>5</v>
      </c>
      <c r="B10" s="20">
        <f t="shared" si="0"/>
        <v>10000</v>
      </c>
      <c r="C10" s="20">
        <f t="shared" si="1"/>
        <v>9612.8065782988797</v>
      </c>
      <c r="D10" s="20">
        <f t="shared" si="2"/>
        <v>9830.4000000000051</v>
      </c>
      <c r="E10" s="20">
        <f t="shared" si="3"/>
        <v>10909.09090909091</v>
      </c>
      <c r="F10" s="61">
        <f t="shared" si="4"/>
        <v>9830.4000000000015</v>
      </c>
      <c r="G10" s="20"/>
    </row>
    <row r="11" spans="1:7">
      <c r="A11" s="28">
        <v>6</v>
      </c>
      <c r="B11" s="20">
        <f t="shared" si="0"/>
        <v>10000</v>
      </c>
      <c r="C11" s="20">
        <f t="shared" si="1"/>
        <v>8036.3062994578631</v>
      </c>
      <c r="D11" s="20">
        <f t="shared" si="2"/>
        <v>7864.3200000000043</v>
      </c>
      <c r="E11" s="20">
        <f t="shared" si="3"/>
        <v>9090.9090909090901</v>
      </c>
      <c r="F11" s="61">
        <f t="shared" si="4"/>
        <v>7864.32</v>
      </c>
      <c r="G11" s="20"/>
    </row>
    <row r="12" spans="1:7">
      <c r="A12" s="28">
        <v>7</v>
      </c>
      <c r="B12" s="20">
        <f t="shared" si="0"/>
        <v>10000</v>
      </c>
      <c r="C12" s="20">
        <f t="shared" si="1"/>
        <v>6718.3520663467734</v>
      </c>
      <c r="D12" s="20">
        <f t="shared" si="2"/>
        <v>6291.4560000000038</v>
      </c>
      <c r="E12" s="20">
        <f t="shared" si="3"/>
        <v>7272.727272727273</v>
      </c>
      <c r="F12" s="61">
        <f t="shared" si="4"/>
        <v>6291.4560000000001</v>
      </c>
      <c r="G12" s="20"/>
    </row>
    <row r="13" spans="1:7">
      <c r="A13" s="28">
        <v>8</v>
      </c>
      <c r="B13" s="20">
        <f t="shared" si="0"/>
        <v>10000</v>
      </c>
      <c r="C13" s="20">
        <f t="shared" si="1"/>
        <v>5616.5423274659024</v>
      </c>
      <c r="D13" s="20">
        <f t="shared" si="2"/>
        <v>5033.1648000000041</v>
      </c>
      <c r="E13" s="20">
        <f t="shared" si="3"/>
        <v>5454.545454545455</v>
      </c>
      <c r="F13" s="61">
        <f t="shared" si="4"/>
        <v>5033.1648000000005</v>
      </c>
      <c r="G13" s="20"/>
    </row>
    <row r="14" spans="1:7">
      <c r="A14" s="28">
        <v>9</v>
      </c>
      <c r="B14" s="20">
        <f t="shared" si="0"/>
        <v>10000</v>
      </c>
      <c r="C14" s="20">
        <f t="shared" si="1"/>
        <v>4695.4293857614939</v>
      </c>
      <c r="D14" s="20">
        <f t="shared" si="2"/>
        <v>132.65920000001643</v>
      </c>
      <c r="E14" s="20">
        <f t="shared" si="3"/>
        <v>3636.3636363636365</v>
      </c>
      <c r="F14" s="61">
        <f t="shared" si="4"/>
        <v>132.65920000000187</v>
      </c>
      <c r="G14" s="20"/>
    </row>
    <row r="15" spans="1:7">
      <c r="A15" s="28">
        <v>10</v>
      </c>
      <c r="B15" s="20">
        <f t="shared" si="0"/>
        <v>10000</v>
      </c>
      <c r="C15" s="20">
        <f t="shared" si="1"/>
        <v>3925.3789664966093</v>
      </c>
      <c r="D15" s="20">
        <f t="shared" si="2"/>
        <v>0</v>
      </c>
      <c r="E15" s="20">
        <f t="shared" si="3"/>
        <v>1818.1818181818182</v>
      </c>
      <c r="F15" s="61">
        <f t="shared" si="4"/>
        <v>0</v>
      </c>
      <c r="G15" s="20"/>
    </row>
    <row r="17" spans="1:2" ht="15">
      <c r="A17" s="53" t="s">
        <v>161</v>
      </c>
      <c r="B17" s="49" t="s">
        <v>162</v>
      </c>
    </row>
    <row r="18" spans="1:2" ht="15">
      <c r="A18" s="53" t="s">
        <v>163</v>
      </c>
      <c r="B18" s="49" t="s">
        <v>166</v>
      </c>
    </row>
    <row r="19" spans="1:2" ht="15">
      <c r="A19" s="53" t="s">
        <v>164</v>
      </c>
      <c r="B19" s="49" t="s">
        <v>167</v>
      </c>
    </row>
    <row r="20" spans="1:2" ht="15">
      <c r="A20" s="53" t="s">
        <v>165</v>
      </c>
      <c r="B20" s="49" t="s">
        <v>168</v>
      </c>
    </row>
  </sheetData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E22"/>
  <sheetViews>
    <sheetView zoomScale="140" zoomScaleNormal="140" workbookViewId="0">
      <selection activeCell="D12" sqref="D12"/>
    </sheetView>
  </sheetViews>
  <sheetFormatPr defaultRowHeight="12.75"/>
  <cols>
    <col min="1" max="1" width="16.1640625" customWidth="1"/>
    <col min="2" max="3" width="13.33203125" bestFit="1" customWidth="1"/>
    <col min="4" max="4" width="15.1640625" bestFit="1" customWidth="1"/>
    <col min="5" max="5" width="13.33203125" bestFit="1" customWidth="1"/>
  </cols>
  <sheetData>
    <row r="1" spans="1:5" ht="15">
      <c r="A1" s="42" t="s">
        <v>67</v>
      </c>
      <c r="B1">
        <v>500000</v>
      </c>
      <c r="C1" s="63" t="s">
        <v>272</v>
      </c>
    </row>
    <row r="2" spans="1:5" ht="15">
      <c r="A2" s="42" t="s">
        <v>155</v>
      </c>
      <c r="B2">
        <v>0</v>
      </c>
      <c r="C2" s="63" t="s">
        <v>273</v>
      </c>
    </row>
    <row r="3" spans="1:5" ht="15">
      <c r="A3" s="42" t="s">
        <v>156</v>
      </c>
      <c r="B3">
        <v>10</v>
      </c>
      <c r="C3" s="63" t="s">
        <v>274</v>
      </c>
    </row>
    <row r="5" spans="1:5" ht="45">
      <c r="A5" s="52" t="s">
        <v>143</v>
      </c>
      <c r="B5" s="58" t="s">
        <v>158</v>
      </c>
      <c r="C5" s="58" t="s">
        <v>159</v>
      </c>
      <c r="D5" s="62" t="s">
        <v>169</v>
      </c>
      <c r="E5" s="62" t="s">
        <v>170</v>
      </c>
    </row>
    <row r="6" spans="1:5">
      <c r="A6" s="28">
        <v>1</v>
      </c>
      <c r="B6" s="20">
        <f t="shared" ref="B6:B15" si="0">SLN($B$1,$B$2,$B$3)</f>
        <v>50000</v>
      </c>
      <c r="C6" s="20">
        <f t="shared" ref="C6:C15" si="1">DDB($B$1,$B$2,$B$3,A6)</f>
        <v>100000</v>
      </c>
      <c r="D6" s="20">
        <f t="shared" ref="D6:D15" si="2">VDB($B$1,$B$2,$B$3,$A6-1,$A6,2,FALSE)</f>
        <v>100000</v>
      </c>
      <c r="E6" s="20">
        <f t="shared" ref="E6:E15" si="3">VDB($B$1,$B$2,$B$3,$A6-1,$A6,2,TRUE)</f>
        <v>100000</v>
      </c>
    </row>
    <row r="7" spans="1:5">
      <c r="A7" s="28">
        <v>2</v>
      </c>
      <c r="B7" s="20">
        <f t="shared" si="0"/>
        <v>50000</v>
      </c>
      <c r="C7" s="20">
        <f t="shared" si="1"/>
        <v>80000</v>
      </c>
      <c r="D7" s="20">
        <f t="shared" si="2"/>
        <v>80000</v>
      </c>
      <c r="E7" s="20">
        <f t="shared" si="3"/>
        <v>80000</v>
      </c>
    </row>
    <row r="8" spans="1:5">
      <c r="A8" s="28">
        <v>3</v>
      </c>
      <c r="B8" s="20">
        <f t="shared" si="0"/>
        <v>50000</v>
      </c>
      <c r="C8" s="20">
        <f t="shared" si="1"/>
        <v>64000.000000000015</v>
      </c>
      <c r="D8" s="20">
        <f t="shared" si="2"/>
        <v>64000</v>
      </c>
      <c r="E8" s="20">
        <f t="shared" si="3"/>
        <v>64000.000000000015</v>
      </c>
    </row>
    <row r="9" spans="1:5">
      <c r="A9" s="28">
        <v>4</v>
      </c>
      <c r="B9" s="20">
        <f t="shared" si="0"/>
        <v>50000</v>
      </c>
      <c r="C9" s="20">
        <f t="shared" si="1"/>
        <v>51200.000000000015</v>
      </c>
      <c r="D9" s="20">
        <f t="shared" si="2"/>
        <v>51200</v>
      </c>
      <c r="E9" s="20">
        <f t="shared" si="3"/>
        <v>51200.000000000015</v>
      </c>
    </row>
    <row r="10" spans="1:5">
      <c r="A10" s="28">
        <v>5</v>
      </c>
      <c r="B10" s="20">
        <f t="shared" si="0"/>
        <v>50000</v>
      </c>
      <c r="C10" s="20">
        <f t="shared" si="1"/>
        <v>40960.000000000022</v>
      </c>
      <c r="D10" s="20">
        <f t="shared" si="2"/>
        <v>40960</v>
      </c>
      <c r="E10" s="20">
        <f t="shared" si="3"/>
        <v>40960.000000000022</v>
      </c>
    </row>
    <row r="11" spans="1:5">
      <c r="A11" s="28">
        <v>6</v>
      </c>
      <c r="B11" s="20">
        <f t="shared" si="0"/>
        <v>50000</v>
      </c>
      <c r="C11" s="20">
        <f t="shared" si="1"/>
        <v>32768.000000000022</v>
      </c>
      <c r="D11" s="20">
        <f t="shared" si="2"/>
        <v>32768</v>
      </c>
      <c r="E11" s="20">
        <f t="shared" si="3"/>
        <v>32768.000000000022</v>
      </c>
    </row>
    <row r="12" spans="1:5" ht="15">
      <c r="A12" s="28">
        <v>7</v>
      </c>
      <c r="B12" s="20">
        <f t="shared" si="0"/>
        <v>50000</v>
      </c>
      <c r="C12" s="20">
        <f t="shared" si="1"/>
        <v>26214.40000000002</v>
      </c>
      <c r="D12" s="45">
        <f t="shared" si="2"/>
        <v>32768</v>
      </c>
      <c r="E12" s="20">
        <f t="shared" si="3"/>
        <v>26214.40000000002</v>
      </c>
    </row>
    <row r="13" spans="1:5">
      <c r="A13" s="28">
        <v>8</v>
      </c>
      <c r="B13" s="20">
        <f t="shared" si="0"/>
        <v>50000</v>
      </c>
      <c r="C13" s="20">
        <f t="shared" si="1"/>
        <v>20971.520000000019</v>
      </c>
      <c r="D13" s="20">
        <f t="shared" si="2"/>
        <v>32768</v>
      </c>
      <c r="E13" s="20">
        <f t="shared" si="3"/>
        <v>20971.520000000019</v>
      </c>
    </row>
    <row r="14" spans="1:5">
      <c r="A14" s="28">
        <v>9</v>
      </c>
      <c r="B14" s="20">
        <f t="shared" si="0"/>
        <v>50000</v>
      </c>
      <c r="C14" s="20">
        <f t="shared" si="1"/>
        <v>16777.216000000015</v>
      </c>
      <c r="D14" s="20">
        <f t="shared" si="2"/>
        <v>32768</v>
      </c>
      <c r="E14" s="20">
        <f t="shared" si="3"/>
        <v>16777.216000000015</v>
      </c>
    </row>
    <row r="15" spans="1:5">
      <c r="A15" s="28">
        <v>10</v>
      </c>
      <c r="B15" s="20">
        <f t="shared" si="0"/>
        <v>50000</v>
      </c>
      <c r="C15" s="20">
        <f t="shared" si="1"/>
        <v>13421.772800000013</v>
      </c>
      <c r="D15" s="20">
        <f t="shared" si="2"/>
        <v>32768</v>
      </c>
      <c r="E15" s="20">
        <f t="shared" si="3"/>
        <v>13421.772800000013</v>
      </c>
    </row>
    <row r="16" spans="1:5">
      <c r="A16" t="s">
        <v>171</v>
      </c>
      <c r="B16" s="20">
        <f>SUM(B6:B15)</f>
        <v>500000</v>
      </c>
      <c r="C16" s="20">
        <f>SUM(C6:C15)</f>
        <v>446312.90880000009</v>
      </c>
      <c r="D16" s="20">
        <f>SUM(D6:D15)</f>
        <v>500000</v>
      </c>
      <c r="E16" s="20">
        <f>SUM(E6:E15)</f>
        <v>446312.90880000009</v>
      </c>
    </row>
    <row r="17" spans="1:5">
      <c r="B17" s="20"/>
      <c r="C17" s="20"/>
      <c r="D17" s="20"/>
      <c r="E17" s="20"/>
    </row>
    <row r="18" spans="1:5" ht="15">
      <c r="A18" s="53" t="s">
        <v>161</v>
      </c>
      <c r="B18" s="49" t="s">
        <v>167</v>
      </c>
    </row>
    <row r="19" spans="1:5" ht="15">
      <c r="A19" s="53" t="s">
        <v>163</v>
      </c>
      <c r="B19" s="49" t="s">
        <v>172</v>
      </c>
      <c r="D19" s="21"/>
    </row>
    <row r="20" spans="1:5" ht="15">
      <c r="A20" s="53" t="s">
        <v>173</v>
      </c>
      <c r="B20" s="49" t="s">
        <v>175</v>
      </c>
    </row>
    <row r="21" spans="1:5" ht="15">
      <c r="A21" s="53" t="s">
        <v>164</v>
      </c>
      <c r="B21" s="49" t="s">
        <v>172</v>
      </c>
    </row>
    <row r="22" spans="1:5" ht="15">
      <c r="A22" s="53" t="s">
        <v>165</v>
      </c>
      <c r="B22" s="49" t="s">
        <v>174</v>
      </c>
    </row>
  </sheetData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E17"/>
  <sheetViews>
    <sheetView zoomScale="190" zoomScaleNormal="190" workbookViewId="0">
      <selection activeCell="C7" sqref="C7"/>
    </sheetView>
  </sheetViews>
  <sheetFormatPr defaultRowHeight="12.75"/>
  <cols>
    <col min="1" max="1" width="15.6640625" bestFit="1" customWidth="1"/>
    <col min="2" max="5" width="11.83203125" bestFit="1" customWidth="1"/>
  </cols>
  <sheetData>
    <row r="1" spans="1:5" ht="15">
      <c r="A1" s="42" t="s">
        <v>67</v>
      </c>
      <c r="B1">
        <v>50000</v>
      </c>
    </row>
    <row r="2" spans="1:5" ht="15">
      <c r="A2" s="42" t="s">
        <v>155</v>
      </c>
      <c r="B2">
        <v>5000</v>
      </c>
    </row>
    <row r="3" spans="1:5" ht="15">
      <c r="A3" s="42" t="s">
        <v>156</v>
      </c>
      <c r="B3">
        <v>7</v>
      </c>
    </row>
    <row r="4" spans="1:5" ht="15">
      <c r="A4" s="42" t="s">
        <v>176</v>
      </c>
      <c r="B4" s="35">
        <v>39203</v>
      </c>
    </row>
    <row r="5" spans="1:5">
      <c r="B5" s="35"/>
    </row>
    <row r="6" spans="1:5" ht="15">
      <c r="A6" s="52" t="s">
        <v>176</v>
      </c>
      <c r="B6" s="58" t="s">
        <v>177</v>
      </c>
      <c r="C6" s="62" t="s">
        <v>47</v>
      </c>
      <c r="E6" s="34"/>
    </row>
    <row r="7" spans="1:5" ht="15">
      <c r="A7" s="36">
        <f>+B4</f>
        <v>39203</v>
      </c>
      <c r="B7" s="36">
        <v>39263</v>
      </c>
      <c r="C7" s="45">
        <f t="shared" ref="C7:C12" si="0">VDB($B$1,$B$2,$B$3*365,$A7-$B$4,$B7-$B$4,2,FALSE)</f>
        <v>2294.9204544662407</v>
      </c>
      <c r="E7" s="20"/>
    </row>
    <row r="8" spans="1:5">
      <c r="A8" s="36">
        <f>+B7+1</f>
        <v>39264</v>
      </c>
      <c r="B8" s="36">
        <f>EOMONTH(A8,2)</f>
        <v>39355</v>
      </c>
      <c r="C8" s="20">
        <f t="shared" si="0"/>
        <v>3278.6334049677534</v>
      </c>
      <c r="E8" s="20"/>
    </row>
    <row r="9" spans="1:5">
      <c r="A9" s="36">
        <f>+B8+1</f>
        <v>39356</v>
      </c>
      <c r="B9" s="36">
        <f>EOMONTH(A9,2)</f>
        <v>39447</v>
      </c>
      <c r="C9" s="20">
        <f t="shared" si="0"/>
        <v>3050.7358819464234</v>
      </c>
      <c r="D9" s="20"/>
      <c r="E9" s="20"/>
    </row>
    <row r="10" spans="1:5">
      <c r="A10" s="36">
        <f>+B9+1</f>
        <v>39448</v>
      </c>
      <c r="B10" s="36">
        <f>EOMONTH(A10,2)</f>
        <v>39538</v>
      </c>
      <c r="C10" s="20">
        <f t="shared" si="0"/>
        <v>2808.5716935292339</v>
      </c>
      <c r="D10" s="20"/>
      <c r="E10" s="20"/>
    </row>
    <row r="11" spans="1:5">
      <c r="A11" s="36">
        <f>+B10+1</f>
        <v>39539</v>
      </c>
      <c r="B11" s="36">
        <f>EOMONTH(A11,2)</f>
        <v>39629</v>
      </c>
      <c r="C11" s="20">
        <f t="shared" si="0"/>
        <v>2615.3953954543199</v>
      </c>
      <c r="D11" s="20"/>
      <c r="E11" s="20"/>
    </row>
    <row r="12" spans="1:5">
      <c r="A12" s="36">
        <f>+B11+1</f>
        <v>39630</v>
      </c>
      <c r="B12" s="36">
        <f>EOMONTH(A12,2)</f>
        <v>39721</v>
      </c>
      <c r="C12" s="20">
        <f t="shared" si="0"/>
        <v>2461.614500514504</v>
      </c>
      <c r="D12" s="20"/>
      <c r="E12" s="20"/>
    </row>
    <row r="14" spans="1:5" ht="15">
      <c r="A14" s="53" t="s">
        <v>180</v>
      </c>
      <c r="B14" s="49" t="s">
        <v>181</v>
      </c>
    </row>
    <row r="15" spans="1:5" ht="15">
      <c r="A15" s="53" t="s">
        <v>178</v>
      </c>
      <c r="B15" s="49" t="s">
        <v>179</v>
      </c>
    </row>
    <row r="16" spans="1:5" ht="15">
      <c r="A16" s="53" t="s">
        <v>182</v>
      </c>
      <c r="B16" s="49" t="s">
        <v>183</v>
      </c>
    </row>
    <row r="17" spans="1:2" ht="15">
      <c r="A17" s="54" t="s">
        <v>184</v>
      </c>
      <c r="B17" s="49" t="s">
        <v>185</v>
      </c>
    </row>
  </sheetData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17"/>
  <sheetViews>
    <sheetView zoomScale="190" zoomScaleNormal="190" workbookViewId="0">
      <selection activeCell="B14" sqref="B14"/>
    </sheetView>
  </sheetViews>
  <sheetFormatPr defaultRowHeight="12.75"/>
  <cols>
    <col min="1" max="1" width="21.33203125" customWidth="1"/>
    <col min="2" max="2" width="9.6640625" customWidth="1"/>
  </cols>
  <sheetData>
    <row r="1" spans="1:3" ht="15">
      <c r="A1" s="42" t="s">
        <v>191</v>
      </c>
      <c r="B1" s="19">
        <v>0.02</v>
      </c>
    </row>
    <row r="2" spans="1:3" ht="15">
      <c r="A2" s="42" t="s">
        <v>186</v>
      </c>
      <c r="B2" s="37">
        <v>-50000</v>
      </c>
    </row>
    <row r="3" spans="1:3" ht="15">
      <c r="A3" s="42" t="s">
        <v>187</v>
      </c>
      <c r="B3" s="37">
        <v>-5000</v>
      </c>
    </row>
    <row r="4" spans="1:3" ht="15">
      <c r="A4" s="42" t="s">
        <v>188</v>
      </c>
      <c r="B4" s="37">
        <v>5000</v>
      </c>
    </row>
    <row r="5" spans="1:3" ht="15">
      <c r="A5" s="42" t="s">
        <v>189</v>
      </c>
      <c r="B5" s="37">
        <v>12000</v>
      </c>
    </row>
    <row r="6" spans="1:3" ht="15">
      <c r="A6" s="47" t="s">
        <v>193</v>
      </c>
      <c r="B6" s="37">
        <v>19000</v>
      </c>
    </row>
    <row r="7" spans="1:3" ht="15">
      <c r="A7" s="42" t="s">
        <v>190</v>
      </c>
      <c r="B7" s="37">
        <v>25000</v>
      </c>
    </row>
    <row r="8" spans="1:3">
      <c r="B8" s="37"/>
    </row>
    <row r="9" spans="1:3" ht="15">
      <c r="A9" s="23" t="s">
        <v>29</v>
      </c>
      <c r="B9" s="64">
        <f>NPV(B1,B3:B7)+B2</f>
        <v>1408.0844766923983</v>
      </c>
    </row>
    <row r="11" spans="1:3" ht="15">
      <c r="A11" s="43" t="s">
        <v>192</v>
      </c>
    </row>
    <row r="13" spans="1:3" ht="15">
      <c r="A13" s="42" t="s">
        <v>194</v>
      </c>
    </row>
    <row r="14" spans="1:3" ht="15">
      <c r="A14" s="42" t="s">
        <v>198</v>
      </c>
      <c r="B14" s="39">
        <f>IRR(B$2:B4,-0.5)</f>
        <v>-0.72984378812835804</v>
      </c>
      <c r="C14" s="49" t="s">
        <v>199</v>
      </c>
    </row>
    <row r="15" spans="1:3" ht="15">
      <c r="A15" s="42" t="s">
        <v>197</v>
      </c>
      <c r="B15" s="39">
        <f>IRR(B$2:B5,0.01)</f>
        <v>-0.35928789361396107</v>
      </c>
      <c r="C15" s="49" t="s">
        <v>200</v>
      </c>
    </row>
    <row r="16" spans="1:3" ht="15">
      <c r="A16" s="42" t="s">
        <v>196</v>
      </c>
      <c r="B16" s="39">
        <f>IRR(B$2:B6)</f>
        <v>-0.11968650593129559</v>
      </c>
      <c r="C16" s="49" t="s">
        <v>201</v>
      </c>
    </row>
    <row r="17" spans="1:3" ht="15">
      <c r="A17" s="42" t="s">
        <v>195</v>
      </c>
      <c r="B17" s="48">
        <f>IRR(B$2:B7)</f>
        <v>2.6579471962491885E-2</v>
      </c>
      <c r="C17" s="49" t="s">
        <v>202</v>
      </c>
    </row>
  </sheetData>
  <phoneticPr fontId="2" type="noConversion"/>
  <pageMargins left="0.75" right="0.75" top="1" bottom="1" header="0.5" footer="0.5"/>
  <headerFooter alignWithMargins="0"/>
  <ignoredErrors>
    <ignoredError sqref="B14:B16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E12"/>
  <sheetViews>
    <sheetView zoomScale="200" zoomScaleNormal="200" workbookViewId="0">
      <selection activeCell="B10" sqref="B10"/>
    </sheetView>
  </sheetViews>
  <sheetFormatPr defaultRowHeight="12.75"/>
  <cols>
    <col min="1" max="1" width="32.6640625" bestFit="1" customWidth="1"/>
    <col min="2" max="2" width="11.33203125" bestFit="1" customWidth="1"/>
    <col min="3" max="3" width="22.6640625" bestFit="1" customWidth="1"/>
  </cols>
  <sheetData>
    <row r="1" spans="1:5" ht="15">
      <c r="A1" s="42" t="s">
        <v>186</v>
      </c>
      <c r="B1" s="13">
        <v>-120000</v>
      </c>
      <c r="C1" s="3"/>
    </row>
    <row r="2" spans="1:5" ht="15">
      <c r="A2" s="51" t="s">
        <v>80</v>
      </c>
      <c r="B2" s="12">
        <v>17000</v>
      </c>
    </row>
    <row r="3" spans="1:5" ht="15">
      <c r="A3" s="51" t="s">
        <v>81</v>
      </c>
      <c r="B3" s="12">
        <v>34000</v>
      </c>
    </row>
    <row r="4" spans="1:5" ht="15">
      <c r="A4" s="51" t="s">
        <v>82</v>
      </c>
      <c r="B4" s="12">
        <v>38000</v>
      </c>
    </row>
    <row r="5" spans="1:5" ht="15">
      <c r="A5" s="51" t="s">
        <v>83</v>
      </c>
      <c r="B5" s="12">
        <v>5000</v>
      </c>
    </row>
    <row r="6" spans="1:5" ht="15">
      <c r="A6" s="51" t="s">
        <v>84</v>
      </c>
      <c r="B6" s="12">
        <v>32000</v>
      </c>
    </row>
    <row r="7" spans="1:5" ht="15">
      <c r="A7" s="51" t="s">
        <v>203</v>
      </c>
      <c r="B7" s="11">
        <v>0.05</v>
      </c>
      <c r="C7" s="3"/>
    </row>
    <row r="8" spans="1:5" ht="15">
      <c r="A8" s="51" t="s">
        <v>204</v>
      </c>
      <c r="B8" s="11">
        <v>2.2499999999999999E-2</v>
      </c>
      <c r="C8" s="3"/>
    </row>
    <row r="9" spans="1:5">
      <c r="B9" s="9"/>
      <c r="C9" s="9"/>
    </row>
    <row r="10" spans="1:5" ht="15">
      <c r="A10" s="44" t="s">
        <v>26</v>
      </c>
      <c r="B10" s="66">
        <f>MIRR(B1:B6,B7,B8)</f>
        <v>1.8891260092876561E-2</v>
      </c>
      <c r="C10" s="49" t="s">
        <v>205</v>
      </c>
      <c r="E10" s="39"/>
    </row>
    <row r="12" spans="1:5">
      <c r="B12" s="65"/>
    </row>
  </sheetData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1"/>
  <sheetViews>
    <sheetView zoomScale="190" zoomScaleNormal="190" workbookViewId="0">
      <selection activeCell="B9" sqref="B9"/>
    </sheetView>
  </sheetViews>
  <sheetFormatPr defaultRowHeight="12.75"/>
  <cols>
    <col min="1" max="1" width="26.1640625" bestFit="1" customWidth="1"/>
  </cols>
  <sheetData>
    <row r="1" spans="1:3" ht="15">
      <c r="A1" s="42" t="s">
        <v>191</v>
      </c>
      <c r="B1" s="19">
        <v>0.04</v>
      </c>
    </row>
    <row r="2" spans="1:3" ht="15">
      <c r="A2" s="35">
        <v>36965</v>
      </c>
      <c r="B2" s="37">
        <v>-50000</v>
      </c>
      <c r="C2" s="43" t="s">
        <v>210</v>
      </c>
    </row>
    <row r="3" spans="1:3" ht="15">
      <c r="A3" s="35">
        <v>37256</v>
      </c>
      <c r="B3" s="37">
        <v>-5000</v>
      </c>
      <c r="C3" s="43" t="s">
        <v>211</v>
      </c>
    </row>
    <row r="4" spans="1:3" ht="15">
      <c r="A4" s="35">
        <v>37986</v>
      </c>
      <c r="B4" s="37">
        <v>5000</v>
      </c>
      <c r="C4" s="43" t="s">
        <v>212</v>
      </c>
    </row>
    <row r="5" spans="1:3" ht="15">
      <c r="A5" s="35">
        <v>38352</v>
      </c>
      <c r="B5" s="37">
        <v>12000</v>
      </c>
      <c r="C5" s="43" t="s">
        <v>213</v>
      </c>
    </row>
    <row r="6" spans="1:3" ht="15">
      <c r="A6" s="40">
        <v>38717</v>
      </c>
      <c r="B6" s="37">
        <v>19000</v>
      </c>
      <c r="C6" s="43" t="s">
        <v>214</v>
      </c>
    </row>
    <row r="7" spans="1:3" ht="15">
      <c r="A7" s="35">
        <v>38765</v>
      </c>
      <c r="B7" s="37">
        <v>242000</v>
      </c>
      <c r="C7" s="43" t="s">
        <v>215</v>
      </c>
    </row>
    <row r="8" spans="1:3">
      <c r="B8" s="37"/>
    </row>
    <row r="9" spans="1:3" ht="15">
      <c r="A9" s="67" t="s">
        <v>49</v>
      </c>
      <c r="B9" s="64">
        <f>XNPV(B1,B2:B7,A2:A7)</f>
        <v>175153.82904708505</v>
      </c>
      <c r="C9" s="49" t="s">
        <v>216</v>
      </c>
    </row>
    <row r="10" spans="1:3" ht="15">
      <c r="C10" s="43"/>
    </row>
    <row r="11" spans="1:3" ht="15">
      <c r="A11" s="44" t="s">
        <v>48</v>
      </c>
      <c r="B11" s="48">
        <f>XIRR(B2:B7,A2:A7)</f>
        <v>0.40705271363258366</v>
      </c>
      <c r="C11" s="49" t="s">
        <v>217</v>
      </c>
    </row>
  </sheetData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9"/>
  <sheetViews>
    <sheetView zoomScale="190" zoomScaleNormal="190" workbookViewId="0">
      <selection activeCell="B9" sqref="B9"/>
    </sheetView>
  </sheetViews>
  <sheetFormatPr defaultRowHeight="12.75"/>
  <cols>
    <col min="1" max="1" width="20.5" customWidth="1"/>
    <col min="2" max="2" width="12.5" bestFit="1" customWidth="1"/>
    <col min="3" max="4" width="10.33203125" bestFit="1" customWidth="1"/>
  </cols>
  <sheetData>
    <row r="1" spans="1:4" ht="15">
      <c r="A1" s="51" t="s">
        <v>58</v>
      </c>
      <c r="B1" s="10">
        <f>DATE(2011,9,1)</f>
        <v>40787</v>
      </c>
      <c r="C1" s="10">
        <f>DATE(2011,9,1)</f>
        <v>40787</v>
      </c>
      <c r="D1" s="10">
        <f>DATE(2011,9,1)</f>
        <v>40787</v>
      </c>
    </row>
    <row r="2" spans="1:4" ht="15">
      <c r="A2" s="51" t="s">
        <v>65</v>
      </c>
      <c r="B2" s="10">
        <f>DATE(2040,6,30)</f>
        <v>51317</v>
      </c>
      <c r="C2" s="10">
        <f>DATE(2040,6,30)</f>
        <v>51317</v>
      </c>
      <c r="D2" s="10">
        <f>DATE(2040,6,30)</f>
        <v>51317</v>
      </c>
    </row>
    <row r="3" spans="1:4" ht="15">
      <c r="A3" s="51" t="s">
        <v>66</v>
      </c>
      <c r="B3" s="11">
        <v>0.05</v>
      </c>
      <c r="C3" s="11">
        <v>0.05</v>
      </c>
      <c r="D3" s="11">
        <v>0.05</v>
      </c>
    </row>
    <row r="4" spans="1:4" ht="15">
      <c r="A4" s="51" t="s">
        <v>71</v>
      </c>
      <c r="B4" s="13">
        <v>95</v>
      </c>
      <c r="C4" s="13">
        <v>93</v>
      </c>
      <c r="D4" s="13">
        <v>105</v>
      </c>
    </row>
    <row r="5" spans="1:4" ht="15">
      <c r="A5" s="51" t="s">
        <v>72</v>
      </c>
      <c r="B5" s="13">
        <v>100</v>
      </c>
      <c r="C5" s="13">
        <v>100</v>
      </c>
      <c r="D5" s="13">
        <v>100</v>
      </c>
    </row>
    <row r="6" spans="1:4" ht="15">
      <c r="A6" s="47" t="s">
        <v>206</v>
      </c>
      <c r="B6" s="3">
        <v>2</v>
      </c>
      <c r="C6" s="3">
        <v>2</v>
      </c>
      <c r="D6" s="3">
        <v>2</v>
      </c>
    </row>
    <row r="7" spans="1:4" ht="15">
      <c r="A7" s="47" t="s">
        <v>207</v>
      </c>
      <c r="B7" s="3">
        <v>0</v>
      </c>
      <c r="C7" s="3">
        <v>0</v>
      </c>
      <c r="D7" s="3">
        <v>0</v>
      </c>
    </row>
    <row r="8" spans="1:4">
      <c r="B8" s="9"/>
      <c r="C8" s="9"/>
      <c r="D8" s="9"/>
    </row>
    <row r="9" spans="1:4" ht="15">
      <c r="A9" s="44" t="s">
        <v>208</v>
      </c>
      <c r="B9" s="48">
        <f>YIELD(B1,B2,B3,B4,B5,B6,B7)</f>
        <v>5.341351050239642E-2</v>
      </c>
      <c r="C9" s="48">
        <f>YIELD(C1,C2,C3,C4,C5,C6,C7)</f>
        <v>5.4855942261970929E-2</v>
      </c>
      <c r="D9" s="48">
        <f>YIELD(D1,D2,D3,D4,D5,D6,D7)</f>
        <v>4.6818075692451354E-2</v>
      </c>
    </row>
  </sheetData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B9"/>
  <sheetViews>
    <sheetView zoomScale="200" zoomScaleNormal="200" workbookViewId="0">
      <selection activeCell="B9" sqref="B9"/>
    </sheetView>
  </sheetViews>
  <sheetFormatPr defaultRowHeight="12.75"/>
  <cols>
    <col min="1" max="1" width="20.5" bestFit="1" customWidth="1"/>
    <col min="2" max="2" width="10.33203125" bestFit="1" customWidth="1"/>
  </cols>
  <sheetData>
    <row r="1" spans="1:2" ht="15">
      <c r="A1" s="51" t="s">
        <v>58</v>
      </c>
      <c r="B1" s="10">
        <f>DATE(2011,9,1)</f>
        <v>40787</v>
      </c>
    </row>
    <row r="2" spans="1:2" ht="15">
      <c r="A2" s="51" t="s">
        <v>65</v>
      </c>
      <c r="B2" s="10">
        <f>DATE(2040,6,30)</f>
        <v>51317</v>
      </c>
    </row>
    <row r="3" spans="1:2" ht="15">
      <c r="A3" s="51" t="s">
        <v>66</v>
      </c>
      <c r="B3" s="11">
        <v>0.05</v>
      </c>
    </row>
    <row r="4" spans="1:2" ht="15">
      <c r="A4" s="51" t="s">
        <v>209</v>
      </c>
      <c r="B4" s="39">
        <v>5.3400000000000003E-2</v>
      </c>
    </row>
    <row r="5" spans="1:2" ht="15">
      <c r="A5" s="51" t="s">
        <v>72</v>
      </c>
      <c r="B5" s="13">
        <v>100</v>
      </c>
    </row>
    <row r="6" spans="1:2" ht="15">
      <c r="A6" s="47" t="s">
        <v>206</v>
      </c>
      <c r="B6" s="3">
        <v>2</v>
      </c>
    </row>
    <row r="7" spans="1:2" ht="15">
      <c r="A7" s="47" t="s">
        <v>207</v>
      </c>
      <c r="B7" s="3">
        <v>0</v>
      </c>
    </row>
    <row r="9" spans="1:2" ht="15">
      <c r="A9" s="44" t="s">
        <v>71</v>
      </c>
      <c r="B9" s="68">
        <f>PRICE(B1,B2,B3,B4,B5,B6,B7)</f>
        <v>95.019032820324114</v>
      </c>
    </row>
  </sheetData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C10"/>
  <sheetViews>
    <sheetView zoomScale="190" zoomScaleNormal="190" workbookViewId="0">
      <selection activeCell="B5" sqref="B5"/>
    </sheetView>
  </sheetViews>
  <sheetFormatPr defaultRowHeight="12.75"/>
  <cols>
    <col min="1" max="1" width="42.1640625" bestFit="1" customWidth="1"/>
    <col min="2" max="2" width="10.33203125" bestFit="1" customWidth="1"/>
    <col min="3" max="3" width="31.83203125" customWidth="1"/>
  </cols>
  <sheetData>
    <row r="1" spans="1:3" ht="15">
      <c r="A1" s="51" t="s">
        <v>58</v>
      </c>
      <c r="B1" s="10">
        <v>40558</v>
      </c>
    </row>
    <row r="2" spans="1:3" ht="15">
      <c r="A2" s="51" t="s">
        <v>65</v>
      </c>
      <c r="B2" s="10">
        <f>DATE(2040,6,30)</f>
        <v>51317</v>
      </c>
    </row>
    <row r="3" spans="1:3" ht="15">
      <c r="A3" s="47" t="s">
        <v>206</v>
      </c>
      <c r="B3" s="3">
        <v>4</v>
      </c>
    </row>
    <row r="5" spans="1:3" ht="15">
      <c r="A5" s="44" t="s">
        <v>218</v>
      </c>
      <c r="B5" s="44">
        <f>COUPDAYS(B$1,B$2,B$3)</f>
        <v>90</v>
      </c>
      <c r="C5" s="43" t="s">
        <v>224</v>
      </c>
    </row>
    <row r="6" spans="1:3" ht="15">
      <c r="A6" s="44" t="s">
        <v>219</v>
      </c>
      <c r="B6" s="44">
        <f>COUPDAYBS(B$1,B$2,B$3)</f>
        <v>15</v>
      </c>
      <c r="C6" s="43" t="s">
        <v>225</v>
      </c>
    </row>
    <row r="7" spans="1:3" ht="15">
      <c r="A7" s="44" t="s">
        <v>220</v>
      </c>
      <c r="B7" s="44">
        <f>COUPDAYSNC(B$1,B$2,B$3)</f>
        <v>75</v>
      </c>
      <c r="C7" s="43" t="s">
        <v>226</v>
      </c>
    </row>
    <row r="8" spans="1:3" ht="15">
      <c r="A8" s="44" t="s">
        <v>221</v>
      </c>
      <c r="B8" s="69">
        <f>COUPPCD(B$1,B$2,B$3)</f>
        <v>40543</v>
      </c>
      <c r="C8" s="43" t="s">
        <v>227</v>
      </c>
    </row>
    <row r="9" spans="1:3" ht="15">
      <c r="A9" s="44" t="s">
        <v>222</v>
      </c>
      <c r="B9" s="69">
        <f>COUPNCD(B$1,B$2,B$3)</f>
        <v>40633</v>
      </c>
      <c r="C9" s="43" t="s">
        <v>228</v>
      </c>
    </row>
    <row r="10" spans="1:3" ht="15">
      <c r="A10" s="44" t="s">
        <v>223</v>
      </c>
      <c r="B10" s="44">
        <f>COUPNUM(B$1,B$2,B$3)</f>
        <v>118</v>
      </c>
      <c r="C10" s="43" t="s">
        <v>229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8"/>
  <sheetViews>
    <sheetView zoomScale="190" zoomScaleNormal="190" workbookViewId="0">
      <selection activeCell="B5" sqref="B5"/>
    </sheetView>
  </sheetViews>
  <sheetFormatPr defaultRowHeight="12.75"/>
  <cols>
    <col min="1" max="1" width="15" bestFit="1" customWidth="1"/>
    <col min="2" max="2" width="10.83203125" customWidth="1"/>
  </cols>
  <sheetData>
    <row r="1" spans="1:3" ht="15">
      <c r="A1" s="42" t="s">
        <v>98</v>
      </c>
      <c r="B1">
        <v>-29000</v>
      </c>
      <c r="C1" s="43" t="s">
        <v>102</v>
      </c>
    </row>
    <row r="2" spans="1:3" ht="15">
      <c r="A2" s="42" t="s">
        <v>99</v>
      </c>
      <c r="B2" s="19">
        <v>0.05</v>
      </c>
      <c r="C2" s="43" t="s">
        <v>106</v>
      </c>
    </row>
    <row r="3" spans="1:3" ht="15">
      <c r="A3" s="42" t="s">
        <v>100</v>
      </c>
      <c r="B3">
        <v>60</v>
      </c>
      <c r="C3" s="43" t="s">
        <v>101</v>
      </c>
    </row>
    <row r="5" spans="1:3" ht="15">
      <c r="A5" s="44" t="s">
        <v>34</v>
      </c>
      <c r="B5" s="45">
        <f>PMT(B2/12,B3,B1)</f>
        <v>547.26577567631705</v>
      </c>
      <c r="C5" s="22" t="s">
        <v>105</v>
      </c>
    </row>
    <row r="7" spans="1:3" ht="15">
      <c r="A7" s="42" t="s">
        <v>103</v>
      </c>
      <c r="B7" s="20">
        <f>B3*B5</f>
        <v>32835.946540579025</v>
      </c>
    </row>
    <row r="8" spans="1:3">
      <c r="B8" s="22" t="s">
        <v>104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D7"/>
  <sheetViews>
    <sheetView zoomScale="200" zoomScaleNormal="200" workbookViewId="0">
      <selection activeCell="B7" sqref="B7"/>
    </sheetView>
  </sheetViews>
  <sheetFormatPr defaultRowHeight="12.75"/>
  <cols>
    <col min="1" max="1" width="17.5" bestFit="1" customWidth="1"/>
    <col min="2" max="2" width="12.5" bestFit="1" customWidth="1"/>
    <col min="3" max="4" width="12.33203125" bestFit="1" customWidth="1"/>
  </cols>
  <sheetData>
    <row r="1" spans="1:4" ht="15">
      <c r="A1" s="42" t="s">
        <v>230</v>
      </c>
      <c r="B1" s="10">
        <v>40238</v>
      </c>
      <c r="C1" s="10">
        <v>40252</v>
      </c>
      <c r="D1" s="10">
        <v>40377</v>
      </c>
    </row>
    <row r="2" spans="1:4" ht="15">
      <c r="A2" s="42" t="s">
        <v>231</v>
      </c>
      <c r="B2" s="10">
        <v>43266</v>
      </c>
      <c r="C2" s="10">
        <v>43266</v>
      </c>
      <c r="D2" s="10">
        <v>43266</v>
      </c>
    </row>
    <row r="3" spans="1:4" ht="15">
      <c r="A3" s="42" t="s">
        <v>75</v>
      </c>
      <c r="B3" s="12">
        <v>1000</v>
      </c>
      <c r="C3" s="12">
        <v>1000</v>
      </c>
      <c r="D3" s="12">
        <v>1000</v>
      </c>
    </row>
    <row r="4" spans="1:4" ht="15">
      <c r="A4" s="42" t="s">
        <v>191</v>
      </c>
      <c r="B4" s="11">
        <v>3.2500000000000001E-2</v>
      </c>
      <c r="C4" s="11">
        <v>3.2500000000000001E-2</v>
      </c>
      <c r="D4" s="11">
        <v>3.2500000000000001E-2</v>
      </c>
    </row>
    <row r="5" spans="1:4" ht="15">
      <c r="A5" s="47" t="s">
        <v>97</v>
      </c>
      <c r="B5" s="3">
        <v>0</v>
      </c>
      <c r="C5" s="3">
        <v>0</v>
      </c>
      <c r="D5" s="3">
        <v>0</v>
      </c>
    </row>
    <row r="6" spans="1:4">
      <c r="B6" s="9"/>
      <c r="C6" s="9"/>
      <c r="D6" s="9"/>
    </row>
    <row r="7" spans="1:4" ht="15">
      <c r="A7" s="44" t="s">
        <v>41</v>
      </c>
      <c r="B7" s="68">
        <f>RECEIVED(B1,B2,B3,B4,B5)</f>
        <v>1368.717207816896</v>
      </c>
      <c r="C7" s="68">
        <f>RECEIVED(C1,C2,C3,C4,C5)</f>
        <v>1366.3535439795046</v>
      </c>
      <c r="D7" s="68">
        <f>RECEIVED(D1,D2,D3,D4,D5)</f>
        <v>1345.9327594425595</v>
      </c>
    </row>
  </sheetData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C13"/>
  <sheetViews>
    <sheetView zoomScale="190" zoomScaleNormal="190" workbookViewId="0">
      <selection activeCell="B7" sqref="B7"/>
    </sheetView>
  </sheetViews>
  <sheetFormatPr defaultRowHeight="12.75"/>
  <cols>
    <col min="1" max="1" width="20.5" bestFit="1" customWidth="1"/>
    <col min="2" max="2" width="11" bestFit="1" customWidth="1"/>
  </cols>
  <sheetData>
    <row r="1" spans="1:3" ht="15">
      <c r="A1" s="51" t="s">
        <v>58</v>
      </c>
      <c r="B1" s="10">
        <v>40589</v>
      </c>
    </row>
    <row r="2" spans="1:3" ht="15">
      <c r="A2" s="51" t="s">
        <v>65</v>
      </c>
      <c r="B2" s="10">
        <v>41044</v>
      </c>
    </row>
    <row r="3" spans="1:3" ht="15">
      <c r="A3" s="51" t="s">
        <v>75</v>
      </c>
      <c r="B3" s="12">
        <v>1000</v>
      </c>
    </row>
    <row r="4" spans="1:3" ht="15">
      <c r="A4" s="51" t="s">
        <v>72</v>
      </c>
      <c r="B4" s="12">
        <v>1037</v>
      </c>
    </row>
    <row r="5" spans="1:3" ht="15">
      <c r="A5" s="51" t="s">
        <v>232</v>
      </c>
      <c r="B5" s="3">
        <v>0</v>
      </c>
    </row>
    <row r="6" spans="1:3">
      <c r="B6" s="9"/>
    </row>
    <row r="7" spans="1:3" ht="15">
      <c r="A7" s="44" t="s">
        <v>191</v>
      </c>
      <c r="B7" s="48">
        <f>INTRATE(B1,B2,B3,B4,B5)</f>
        <v>2.9600000000000001E-2</v>
      </c>
      <c r="C7" s="49" t="s">
        <v>233</v>
      </c>
    </row>
    <row r="12" spans="1:3" ht="15">
      <c r="A12" s="43" t="s">
        <v>236</v>
      </c>
    </row>
    <row r="13" spans="1:3" ht="15">
      <c r="A13" s="43" t="s">
        <v>238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C14"/>
  <sheetViews>
    <sheetView zoomScale="190" zoomScaleNormal="190" workbookViewId="0">
      <selection activeCell="B7" sqref="B7"/>
    </sheetView>
  </sheetViews>
  <sheetFormatPr defaultRowHeight="12.75"/>
  <cols>
    <col min="1" max="1" width="21.5" customWidth="1"/>
    <col min="2" max="2" width="12.1640625" bestFit="1" customWidth="1"/>
  </cols>
  <sheetData>
    <row r="1" spans="1:3" ht="15">
      <c r="A1" s="51" t="s">
        <v>58</v>
      </c>
      <c r="B1" s="10">
        <v>40234</v>
      </c>
    </row>
    <row r="2" spans="1:3" ht="15">
      <c r="A2" s="51" t="s">
        <v>65</v>
      </c>
      <c r="B2" s="10">
        <v>40344</v>
      </c>
    </row>
    <row r="3" spans="1:3" ht="15">
      <c r="A3" s="51" t="s">
        <v>71</v>
      </c>
      <c r="B3" s="3">
        <v>99.12</v>
      </c>
    </row>
    <row r="4" spans="1:3" ht="15">
      <c r="A4" s="51" t="s">
        <v>72</v>
      </c>
      <c r="B4" s="3">
        <v>100</v>
      </c>
    </row>
    <row r="5" spans="1:3" ht="15">
      <c r="A5" s="51" t="s">
        <v>232</v>
      </c>
      <c r="B5" s="3">
        <v>0</v>
      </c>
    </row>
    <row r="6" spans="1:3">
      <c r="B6" s="9"/>
    </row>
    <row r="7" spans="1:3" ht="15">
      <c r="A7" s="44" t="s">
        <v>234</v>
      </c>
      <c r="B7" s="48">
        <f>DISC(B1,B2,B3,B4,B5)</f>
        <v>2.8799999999999736E-2</v>
      </c>
      <c r="C7" s="49" t="s">
        <v>235</v>
      </c>
    </row>
    <row r="13" spans="1:3" ht="15">
      <c r="A13" s="43" t="s">
        <v>236</v>
      </c>
    </row>
    <row r="14" spans="1:3" ht="15">
      <c r="A14" s="43" t="s">
        <v>237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17"/>
  <sheetViews>
    <sheetView zoomScale="190" zoomScaleNormal="190" workbookViewId="0">
      <selection activeCell="B8" sqref="B8"/>
    </sheetView>
  </sheetViews>
  <sheetFormatPr defaultRowHeight="12.75"/>
  <cols>
    <col min="1" max="1" width="30.6640625" bestFit="1" customWidth="1"/>
    <col min="2" max="2" width="12.1640625" bestFit="1" customWidth="1"/>
  </cols>
  <sheetData>
    <row r="1" spans="1:3" ht="15">
      <c r="A1" s="51" t="s">
        <v>58</v>
      </c>
      <c r="B1" s="10">
        <v>40589</v>
      </c>
    </row>
    <row r="2" spans="1:3" ht="15">
      <c r="A2" s="51" t="s">
        <v>65</v>
      </c>
      <c r="B2" s="10">
        <v>40646</v>
      </c>
    </row>
    <row r="3" spans="1:3" ht="15">
      <c r="A3" s="51" t="s">
        <v>56</v>
      </c>
      <c r="B3" s="10">
        <v>40493</v>
      </c>
    </row>
    <row r="4" spans="1:3" ht="15">
      <c r="A4" s="51" t="s">
        <v>92</v>
      </c>
      <c r="B4" s="11">
        <v>4.1000000000000002E-2</v>
      </c>
    </row>
    <row r="5" spans="1:3" ht="15">
      <c r="A5" s="51" t="s">
        <v>73</v>
      </c>
      <c r="B5" s="11">
        <v>4.1000000000000002E-2</v>
      </c>
    </row>
    <row r="6" spans="1:3" ht="15">
      <c r="A6" s="47" t="s">
        <v>207</v>
      </c>
      <c r="B6" s="3">
        <v>0</v>
      </c>
    </row>
    <row r="7" spans="1:3">
      <c r="B7" s="9"/>
    </row>
    <row r="8" spans="1:3" ht="15">
      <c r="A8" s="44" t="s">
        <v>38</v>
      </c>
      <c r="B8" s="44">
        <f>PRICEMAT(B1,B2,B3,B4,B5,B6)</f>
        <v>99.99297479120942</v>
      </c>
      <c r="C8" s="49" t="s">
        <v>241</v>
      </c>
    </row>
    <row r="10" spans="1:3" ht="15">
      <c r="A10" s="51" t="s">
        <v>58</v>
      </c>
      <c r="B10" s="10">
        <v>40589</v>
      </c>
    </row>
    <row r="11" spans="1:3" ht="15">
      <c r="A11" s="51" t="s">
        <v>65</v>
      </c>
      <c r="B11" s="10">
        <v>40646</v>
      </c>
    </row>
    <row r="12" spans="1:3" ht="15">
      <c r="A12" s="51" t="s">
        <v>56</v>
      </c>
      <c r="B12" s="10">
        <v>40493</v>
      </c>
    </row>
    <row r="13" spans="1:3" ht="15">
      <c r="A13" s="51" t="s">
        <v>92</v>
      </c>
      <c r="B13" s="11">
        <v>4.1000000000000002E-2</v>
      </c>
    </row>
    <row r="14" spans="1:3" ht="15">
      <c r="A14" s="51" t="s">
        <v>71</v>
      </c>
      <c r="B14" s="3">
        <v>100.0123</v>
      </c>
    </row>
    <row r="15" spans="1:3" ht="15">
      <c r="A15" s="47" t="s">
        <v>239</v>
      </c>
      <c r="B15" s="3">
        <v>0</v>
      </c>
    </row>
    <row r="16" spans="1:3">
      <c r="A16" s="9"/>
      <c r="B16" s="9"/>
    </row>
    <row r="17" spans="1:3" ht="15">
      <c r="A17" s="44" t="s">
        <v>52</v>
      </c>
      <c r="B17" s="48">
        <f>YIELDMAT(B10,B11,B12,B13,B14,B15)</f>
        <v>3.9805515488256463E-2</v>
      </c>
      <c r="C17" s="49" t="s">
        <v>240</v>
      </c>
    </row>
  </sheetData>
  <phoneticPr fontId="2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16"/>
  <sheetViews>
    <sheetView zoomScale="190" zoomScaleNormal="190" workbookViewId="0">
      <selection activeCell="B8" sqref="B8"/>
    </sheetView>
  </sheetViews>
  <sheetFormatPr defaultRowHeight="12.75"/>
  <cols>
    <col min="1" max="1" width="23.6640625" bestFit="1" customWidth="1"/>
    <col min="2" max="2" width="12.1640625" bestFit="1" customWidth="1"/>
    <col min="3" max="3" width="37" customWidth="1"/>
  </cols>
  <sheetData>
    <row r="1" spans="1:3" ht="15">
      <c r="A1" s="56" t="s">
        <v>55</v>
      </c>
      <c r="B1" s="56" t="s">
        <v>54</v>
      </c>
    </row>
    <row r="2" spans="1:3" ht="15">
      <c r="A2" s="51" t="s">
        <v>58</v>
      </c>
      <c r="B2" s="10">
        <v>40590</v>
      </c>
    </row>
    <row r="3" spans="1:3" ht="15">
      <c r="A3" s="51" t="s">
        <v>65</v>
      </c>
      <c r="B3" s="10">
        <v>40603</v>
      </c>
    </row>
    <row r="4" spans="1:3" ht="15">
      <c r="A4" s="51" t="s">
        <v>93</v>
      </c>
      <c r="B4" s="11">
        <v>3.2500000000000001E-2</v>
      </c>
    </row>
    <row r="5" spans="1:3" ht="15">
      <c r="A5" s="51" t="s">
        <v>72</v>
      </c>
      <c r="B5" s="13">
        <v>100</v>
      </c>
    </row>
    <row r="6" spans="1:3" ht="15">
      <c r="A6" s="51" t="s">
        <v>242</v>
      </c>
      <c r="B6" s="3">
        <v>0</v>
      </c>
    </row>
    <row r="7" spans="1:3">
      <c r="A7" s="9"/>
      <c r="B7" s="9"/>
    </row>
    <row r="8" spans="1:3" ht="15">
      <c r="A8" s="44" t="s">
        <v>243</v>
      </c>
      <c r="B8" s="44">
        <f>PRICEDISC(B2,B3,B4,B5,B6)</f>
        <v>99.864583333333329</v>
      </c>
      <c r="C8" s="49" t="s">
        <v>244</v>
      </c>
    </row>
    <row r="9" spans="1:3">
      <c r="C9" s="33"/>
    </row>
    <row r="10" spans="1:3" ht="15">
      <c r="A10" s="51" t="s">
        <v>58</v>
      </c>
      <c r="B10" s="10">
        <v>40590</v>
      </c>
      <c r="C10" s="33"/>
    </row>
    <row r="11" spans="1:3" ht="15">
      <c r="A11" s="51" t="s">
        <v>65</v>
      </c>
      <c r="B11" s="10">
        <v>40603</v>
      </c>
      <c r="C11" s="33"/>
    </row>
    <row r="12" spans="1:3" ht="15">
      <c r="A12" s="51" t="s">
        <v>71</v>
      </c>
      <c r="B12" s="3">
        <v>99.864582999999996</v>
      </c>
      <c r="C12" s="33"/>
    </row>
    <row r="13" spans="1:3" ht="15">
      <c r="A13" s="51" t="s">
        <v>72</v>
      </c>
      <c r="B13" s="13">
        <v>100</v>
      </c>
      <c r="C13" s="33"/>
    </row>
    <row r="14" spans="1:3" ht="15">
      <c r="A14" s="51" t="s">
        <v>97</v>
      </c>
      <c r="B14" s="3">
        <v>0</v>
      </c>
      <c r="C14" s="33"/>
    </row>
    <row r="15" spans="1:3">
      <c r="B15" s="9"/>
      <c r="C15" s="33"/>
    </row>
    <row r="16" spans="1:3" ht="15">
      <c r="A16" s="44" t="s">
        <v>51</v>
      </c>
      <c r="B16" s="48">
        <f>YIELDDISC(B10,B11,B12,B13,B14)</f>
        <v>3.2544150312028973E-2</v>
      </c>
      <c r="C16" s="49" t="s">
        <v>245</v>
      </c>
    </row>
  </sheetData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7"/>
  <sheetViews>
    <sheetView zoomScale="190" zoomScaleNormal="190" workbookViewId="0">
      <selection activeCell="B5" sqref="B5"/>
    </sheetView>
  </sheetViews>
  <sheetFormatPr defaultRowHeight="12.75"/>
  <cols>
    <col min="1" max="1" width="27.1640625" bestFit="1" customWidth="1"/>
    <col min="2" max="2" width="12.1640625" bestFit="1" customWidth="1"/>
    <col min="3" max="3" width="26.83203125" customWidth="1"/>
  </cols>
  <sheetData>
    <row r="1" spans="1:3" ht="15">
      <c r="A1" s="51" t="s">
        <v>58</v>
      </c>
      <c r="B1" s="10">
        <v>40633</v>
      </c>
    </row>
    <row r="2" spans="1:3" ht="15">
      <c r="A2" s="51" t="s">
        <v>65</v>
      </c>
      <c r="B2" s="10">
        <v>40695</v>
      </c>
    </row>
    <row r="3" spans="1:3" ht="15">
      <c r="A3" s="51" t="s">
        <v>93</v>
      </c>
      <c r="B3" s="70">
        <v>2.375E-2</v>
      </c>
    </row>
    <row r="4" spans="1:3">
      <c r="A4" s="9"/>
      <c r="B4" s="9"/>
    </row>
    <row r="5" spans="1:3" ht="15">
      <c r="A5" s="44" t="s">
        <v>246</v>
      </c>
      <c r="B5" s="71">
        <f>TBILLEQ(B1,B2,B3)</f>
        <v>2.4178758951544862E-2</v>
      </c>
      <c r="C5" s="43" t="s">
        <v>249</v>
      </c>
    </row>
    <row r="7" spans="1:3" ht="15">
      <c r="A7" s="51" t="s">
        <v>58</v>
      </c>
      <c r="B7" s="10">
        <v>40633</v>
      </c>
    </row>
    <row r="8" spans="1:3" ht="15">
      <c r="A8" s="51" t="s">
        <v>65</v>
      </c>
      <c r="B8" s="10">
        <v>40695</v>
      </c>
    </row>
    <row r="9" spans="1:3" ht="15">
      <c r="A9" s="51" t="s">
        <v>93</v>
      </c>
      <c r="B9" s="70">
        <f>B3</f>
        <v>2.375E-2</v>
      </c>
    </row>
    <row r="10" spans="1:3">
      <c r="B10" s="9"/>
    </row>
    <row r="11" spans="1:3" ht="15">
      <c r="A11" s="44" t="s">
        <v>247</v>
      </c>
      <c r="B11" s="44">
        <f>TBILLPRICE(B7,B8,B9)</f>
        <v>99.59097222222222</v>
      </c>
      <c r="C11" s="43" t="s">
        <v>250</v>
      </c>
    </row>
    <row r="13" spans="1:3" ht="15">
      <c r="A13" s="51" t="s">
        <v>58</v>
      </c>
      <c r="B13" s="10">
        <f t="shared" ref="B13:B14" si="0">B7</f>
        <v>40633</v>
      </c>
    </row>
    <row r="14" spans="1:3" ht="15">
      <c r="A14" s="51" t="s">
        <v>65</v>
      </c>
      <c r="B14" s="10">
        <f t="shared" si="0"/>
        <v>40695</v>
      </c>
    </row>
    <row r="15" spans="1:3" ht="15">
      <c r="A15" s="51" t="s">
        <v>96</v>
      </c>
      <c r="B15" s="3">
        <v>99.42</v>
      </c>
    </row>
    <row r="16" spans="1:3">
      <c r="B16" s="9"/>
    </row>
    <row r="17" spans="1:3" ht="15">
      <c r="A17" s="44" t="s">
        <v>248</v>
      </c>
      <c r="B17" s="48">
        <f>TBILLYIELD(B13,B14,B15)</f>
        <v>3.387388790468579E-2</v>
      </c>
      <c r="C17" s="43" t="s">
        <v>251</v>
      </c>
    </row>
  </sheetData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I18"/>
  <sheetViews>
    <sheetView zoomScale="170" zoomScaleNormal="170" workbookViewId="0">
      <selection activeCell="B9" sqref="B9"/>
    </sheetView>
  </sheetViews>
  <sheetFormatPr defaultRowHeight="12.75"/>
  <cols>
    <col min="1" max="1" width="19.83203125" bestFit="1" customWidth="1"/>
    <col min="2" max="5" width="10.6640625" bestFit="1" customWidth="1"/>
    <col min="6" max="6" width="11" bestFit="1" customWidth="1"/>
    <col min="9" max="9" width="10.33203125" bestFit="1" customWidth="1"/>
  </cols>
  <sheetData>
    <row r="1" spans="1:9" ht="15">
      <c r="A1" s="51" t="s">
        <v>56</v>
      </c>
      <c r="B1" s="10">
        <v>40634</v>
      </c>
      <c r="C1" s="10">
        <v>40634</v>
      </c>
      <c r="D1" s="10">
        <v>40634</v>
      </c>
      <c r="E1" s="10">
        <v>40634</v>
      </c>
      <c r="F1" s="10">
        <v>40634</v>
      </c>
      <c r="H1" s="35"/>
      <c r="I1" s="38"/>
    </row>
    <row r="2" spans="1:9" ht="15">
      <c r="A2" s="51" t="s">
        <v>57</v>
      </c>
      <c r="B2" s="6">
        <v>40786</v>
      </c>
      <c r="C2" s="6">
        <v>40786</v>
      </c>
      <c r="D2" s="6">
        <v>40786</v>
      </c>
      <c r="E2" s="6">
        <v>40786</v>
      </c>
      <c r="F2" s="6">
        <v>40786</v>
      </c>
    </row>
    <row r="3" spans="1:9" ht="15">
      <c r="A3" s="51" t="s">
        <v>58</v>
      </c>
      <c r="B3" s="6">
        <v>40695</v>
      </c>
      <c r="C3" s="6">
        <v>40640</v>
      </c>
      <c r="D3" s="6">
        <v>40647</v>
      </c>
      <c r="E3" s="6">
        <v>40664</v>
      </c>
      <c r="F3" s="6">
        <v>40678</v>
      </c>
    </row>
    <row r="4" spans="1:9" ht="15">
      <c r="A4" s="51" t="s">
        <v>59</v>
      </c>
      <c r="B4" s="7">
        <v>0.03</v>
      </c>
      <c r="C4" s="7">
        <v>0.03</v>
      </c>
      <c r="D4" s="7">
        <v>0.03</v>
      </c>
      <c r="E4" s="7">
        <v>0.03</v>
      </c>
      <c r="F4" s="7">
        <v>0.03</v>
      </c>
    </row>
    <row r="5" spans="1:9" ht="15">
      <c r="A5" s="51" t="s">
        <v>60</v>
      </c>
      <c r="B5" s="8">
        <v>1000</v>
      </c>
      <c r="C5" s="8">
        <v>1000</v>
      </c>
      <c r="D5" s="8">
        <v>1000</v>
      </c>
      <c r="E5" s="8">
        <v>1000</v>
      </c>
      <c r="F5" s="8">
        <v>1000</v>
      </c>
    </row>
    <row r="6" spans="1:9" ht="15">
      <c r="A6" s="47" t="s">
        <v>206</v>
      </c>
      <c r="B6" s="4">
        <v>2</v>
      </c>
      <c r="C6" s="4">
        <v>2</v>
      </c>
      <c r="D6" s="4">
        <v>2</v>
      </c>
      <c r="E6" s="4">
        <v>2</v>
      </c>
      <c r="F6" s="4">
        <v>2</v>
      </c>
    </row>
    <row r="7" spans="1:9" ht="15">
      <c r="A7" s="47" t="s">
        <v>207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9">
      <c r="A8" s="9"/>
      <c r="B8" s="5"/>
      <c r="C8" s="5"/>
      <c r="D8" s="5"/>
      <c r="E8" s="5"/>
      <c r="F8" s="5"/>
    </row>
    <row r="9" spans="1:9" ht="15">
      <c r="A9" s="44" t="s">
        <v>252</v>
      </c>
      <c r="B9" s="50">
        <f>ACCRINT(B1,B2,B3,B4,B5,B6,B7)</f>
        <v>5</v>
      </c>
      <c r="C9" s="50">
        <f>ACCRINT(C1,C2,C3,C4,C5,C6,C7)</f>
        <v>0.5</v>
      </c>
      <c r="D9" s="50">
        <f>ACCRINT(D1,D2,D3,D4,D5,D6,D7)</f>
        <v>1.0833333333333333</v>
      </c>
      <c r="E9" s="50">
        <f>ACCRINT(E1,E2,E3,E4,E5,E6,E7)</f>
        <v>2.5</v>
      </c>
      <c r="F9" s="50">
        <f>ACCRINT(F1,F2,F3,F4,F5,F6,F7)</f>
        <v>3.6666666666666665</v>
      </c>
    </row>
    <row r="10" spans="1:9" ht="15">
      <c r="A10" s="3"/>
      <c r="B10" s="49" t="s">
        <v>253</v>
      </c>
    </row>
    <row r="12" spans="1:9" ht="15">
      <c r="A12" s="51" t="s">
        <v>56</v>
      </c>
      <c r="B12" s="10">
        <v>40634</v>
      </c>
    </row>
    <row r="13" spans="1:9" ht="15">
      <c r="A13" s="51" t="s">
        <v>65</v>
      </c>
      <c r="B13" s="10">
        <v>40709</v>
      </c>
    </row>
    <row r="14" spans="1:9" ht="15">
      <c r="A14" s="51" t="s">
        <v>66</v>
      </c>
      <c r="B14" s="11">
        <v>0.03</v>
      </c>
    </row>
    <row r="15" spans="1:9" ht="15">
      <c r="A15" s="51" t="s">
        <v>60</v>
      </c>
      <c r="B15" s="13">
        <v>1000</v>
      </c>
    </row>
    <row r="16" spans="1:9" ht="15">
      <c r="A16" s="47" t="s">
        <v>207</v>
      </c>
      <c r="B16" s="3">
        <v>0</v>
      </c>
    </row>
    <row r="17" spans="1:3">
      <c r="A17" s="9"/>
      <c r="B17" s="9"/>
    </row>
    <row r="18" spans="1:3" ht="15">
      <c r="A18" s="44" t="s">
        <v>252</v>
      </c>
      <c r="B18" s="44">
        <f>ACCRINTM(B12,B13,B14,B15,B16)</f>
        <v>6.1666666666666661</v>
      </c>
      <c r="C18" s="49" t="s">
        <v>254</v>
      </c>
    </row>
  </sheetData>
  <phoneticPr fontId="2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B9"/>
  <sheetViews>
    <sheetView zoomScale="190" zoomScaleNormal="190" workbookViewId="0">
      <selection activeCell="B8" sqref="B8"/>
    </sheetView>
  </sheetViews>
  <sheetFormatPr defaultRowHeight="12.75"/>
  <cols>
    <col min="1" max="1" width="18.33203125" customWidth="1"/>
    <col min="2" max="2" width="12.1640625" bestFit="1" customWidth="1"/>
  </cols>
  <sheetData>
    <row r="1" spans="1:2" ht="15">
      <c r="A1" s="51" t="s">
        <v>58</v>
      </c>
      <c r="B1" s="10">
        <v>40544</v>
      </c>
    </row>
    <row r="2" spans="1:2" ht="15">
      <c r="A2" s="51" t="s">
        <v>65</v>
      </c>
      <c r="B2" s="10">
        <v>43466</v>
      </c>
    </row>
    <row r="3" spans="1:2" ht="15">
      <c r="A3" s="51" t="s">
        <v>66</v>
      </c>
      <c r="B3" s="11">
        <v>0.04</v>
      </c>
    </row>
    <row r="4" spans="1:2" ht="15">
      <c r="A4" s="51" t="s">
        <v>73</v>
      </c>
      <c r="B4" s="11">
        <v>0.05</v>
      </c>
    </row>
    <row r="5" spans="1:2" ht="15">
      <c r="A5" s="47" t="s">
        <v>206</v>
      </c>
      <c r="B5" s="3">
        <v>2</v>
      </c>
    </row>
    <row r="6" spans="1:2" ht="15">
      <c r="A6" s="51" t="s">
        <v>255</v>
      </c>
      <c r="B6" s="3">
        <v>1</v>
      </c>
    </row>
    <row r="7" spans="1:2">
      <c r="B7" s="9"/>
    </row>
    <row r="8" spans="1:2" ht="15">
      <c r="A8" s="44" t="s">
        <v>17</v>
      </c>
      <c r="B8" s="72">
        <f>DURATION(B1,B2,B3,B4,B5,B6)</f>
        <v>6.8794041837680986</v>
      </c>
    </row>
    <row r="9" spans="1:2" ht="15">
      <c r="A9" s="44" t="s">
        <v>25</v>
      </c>
      <c r="B9" s="72">
        <f>MDURATION(B1,B2,B3,B4,B5,B6)</f>
        <v>6.7116138378225356</v>
      </c>
    </row>
  </sheetData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F25"/>
  <sheetViews>
    <sheetView zoomScale="170" zoomScaleNormal="170" workbookViewId="0">
      <selection activeCell="C4" sqref="C4"/>
    </sheetView>
  </sheetViews>
  <sheetFormatPr defaultRowHeight="12.75"/>
  <cols>
    <col min="1" max="1" width="16.1640625" bestFit="1" customWidth="1"/>
    <col min="3" max="3" width="10" bestFit="1" customWidth="1"/>
    <col min="4" max="4" width="1.83203125" customWidth="1"/>
  </cols>
  <sheetData>
    <row r="1" spans="1:6" ht="15">
      <c r="A1" s="42" t="s">
        <v>259</v>
      </c>
      <c r="E1" s="47" t="s">
        <v>260</v>
      </c>
    </row>
    <row r="2" spans="1:6" ht="3.75" customHeight="1"/>
    <row r="3" spans="1:6" ht="15">
      <c r="A3" s="42" t="s">
        <v>256</v>
      </c>
      <c r="B3" s="73" t="s">
        <v>257</v>
      </c>
      <c r="C3" s="42" t="s">
        <v>258</v>
      </c>
      <c r="D3" s="42"/>
      <c r="E3" s="42" t="s">
        <v>261</v>
      </c>
    </row>
    <row r="4" spans="1:6" ht="15">
      <c r="A4" s="26">
        <v>1.1000000000000001</v>
      </c>
      <c r="B4" s="28">
        <v>8</v>
      </c>
      <c r="C4" s="44">
        <f t="shared" ref="C4:C25" si="0">DOLLARDE(A4,B4)</f>
        <v>1.125</v>
      </c>
      <c r="E4" s="50">
        <f t="shared" ref="E4:E25" si="1">DOLLARFR(C4,16)</f>
        <v>1.02</v>
      </c>
      <c r="F4" s="49" t="s">
        <v>262</v>
      </c>
    </row>
    <row r="5" spans="1:6">
      <c r="A5" s="26">
        <v>1.2</v>
      </c>
      <c r="B5" s="28">
        <v>8</v>
      </c>
      <c r="C5">
        <f t="shared" si="0"/>
        <v>1.25</v>
      </c>
      <c r="E5" s="38">
        <f t="shared" si="1"/>
        <v>1.04</v>
      </c>
    </row>
    <row r="6" spans="1:6">
      <c r="A6" s="26">
        <v>1.3</v>
      </c>
      <c r="B6" s="28">
        <v>8</v>
      </c>
      <c r="C6">
        <f t="shared" si="0"/>
        <v>1.375</v>
      </c>
      <c r="E6" s="38">
        <f t="shared" si="1"/>
        <v>1.06</v>
      </c>
    </row>
    <row r="7" spans="1:6">
      <c r="A7" s="26">
        <v>1.4</v>
      </c>
      <c r="B7" s="28">
        <v>8</v>
      </c>
      <c r="C7">
        <f t="shared" si="0"/>
        <v>1.5</v>
      </c>
      <c r="E7" s="38">
        <f t="shared" si="1"/>
        <v>1.08</v>
      </c>
    </row>
    <row r="8" spans="1:6">
      <c r="A8" s="26">
        <v>1.5</v>
      </c>
      <c r="B8" s="28">
        <v>8</v>
      </c>
      <c r="C8">
        <f t="shared" si="0"/>
        <v>1.625</v>
      </c>
      <c r="E8" s="38">
        <f t="shared" si="1"/>
        <v>1.1000000000000001</v>
      </c>
    </row>
    <row r="9" spans="1:6">
      <c r="A9" s="26">
        <v>1.6</v>
      </c>
      <c r="B9" s="28">
        <v>8</v>
      </c>
      <c r="C9">
        <f t="shared" si="0"/>
        <v>1.75</v>
      </c>
      <c r="E9" s="38">
        <f t="shared" si="1"/>
        <v>1.1200000000000001</v>
      </c>
    </row>
    <row r="10" spans="1:6">
      <c r="A10" s="26">
        <v>1.7</v>
      </c>
      <c r="B10" s="28">
        <v>8</v>
      </c>
      <c r="C10">
        <f t="shared" si="0"/>
        <v>1.875</v>
      </c>
      <c r="E10" s="38">
        <f t="shared" si="1"/>
        <v>1.1400000000000001</v>
      </c>
    </row>
    <row r="11" spans="1:6">
      <c r="A11" s="38">
        <v>1.01</v>
      </c>
      <c r="B11" s="28">
        <v>16</v>
      </c>
      <c r="C11">
        <f t="shared" si="0"/>
        <v>1.0625</v>
      </c>
      <c r="E11" s="38">
        <f t="shared" si="1"/>
        <v>1.01</v>
      </c>
    </row>
    <row r="12" spans="1:6">
      <c r="A12" s="38">
        <v>1.02</v>
      </c>
      <c r="B12" s="28">
        <v>16</v>
      </c>
      <c r="C12">
        <f t="shared" si="0"/>
        <v>1.125</v>
      </c>
      <c r="E12" s="38">
        <f t="shared" si="1"/>
        <v>1.02</v>
      </c>
    </row>
    <row r="13" spans="1:6">
      <c r="A13" s="38">
        <v>1.03</v>
      </c>
      <c r="B13" s="28">
        <v>16</v>
      </c>
      <c r="C13">
        <f t="shared" si="0"/>
        <v>1.1875000000000002</v>
      </c>
      <c r="E13" s="38">
        <f t="shared" si="1"/>
        <v>1.03</v>
      </c>
    </row>
    <row r="14" spans="1:6">
      <c r="A14" s="38">
        <v>1.04</v>
      </c>
      <c r="B14" s="28">
        <v>16</v>
      </c>
      <c r="C14">
        <f t="shared" si="0"/>
        <v>1.2500000000000002</v>
      </c>
      <c r="E14" s="38">
        <f t="shared" si="1"/>
        <v>1.04</v>
      </c>
    </row>
    <row r="15" spans="1:6">
      <c r="A15" s="38">
        <v>1.05</v>
      </c>
      <c r="B15" s="28">
        <v>16</v>
      </c>
      <c r="C15">
        <f t="shared" si="0"/>
        <v>1.3125000000000002</v>
      </c>
      <c r="E15" s="38">
        <f t="shared" si="1"/>
        <v>1.05</v>
      </c>
    </row>
    <row r="16" spans="1:6">
      <c r="A16" s="38">
        <v>1.06</v>
      </c>
      <c r="B16" s="28">
        <v>16</v>
      </c>
      <c r="C16">
        <f t="shared" si="0"/>
        <v>1.3750000000000004</v>
      </c>
      <c r="E16" s="38">
        <f t="shared" si="1"/>
        <v>1.06</v>
      </c>
    </row>
    <row r="17" spans="1:5">
      <c r="A17" s="38">
        <v>1.07</v>
      </c>
      <c r="B17" s="28">
        <v>16</v>
      </c>
      <c r="C17">
        <f t="shared" si="0"/>
        <v>1.4375000000000004</v>
      </c>
      <c r="E17" s="38">
        <f t="shared" si="1"/>
        <v>1.07</v>
      </c>
    </row>
    <row r="18" spans="1:5">
      <c r="A18" s="38">
        <v>1.08</v>
      </c>
      <c r="B18" s="28">
        <v>16</v>
      </c>
      <c r="C18">
        <f t="shared" si="0"/>
        <v>1.5000000000000004</v>
      </c>
      <c r="E18" s="38">
        <f t="shared" si="1"/>
        <v>1.08</v>
      </c>
    </row>
    <row r="19" spans="1:5">
      <c r="A19" s="38">
        <v>1.0900000000000001</v>
      </c>
      <c r="B19" s="28">
        <v>16</v>
      </c>
      <c r="C19">
        <f t="shared" si="0"/>
        <v>1.5625000000000004</v>
      </c>
      <c r="E19" s="38">
        <f t="shared" si="1"/>
        <v>1.0900000000000001</v>
      </c>
    </row>
    <row r="20" spans="1:5">
      <c r="A20" s="38">
        <v>1.1000000000000001</v>
      </c>
      <c r="B20" s="28">
        <v>16</v>
      </c>
      <c r="C20">
        <f t="shared" si="0"/>
        <v>1.6250000000000004</v>
      </c>
      <c r="E20" s="38">
        <f t="shared" si="1"/>
        <v>1.1000000000000001</v>
      </c>
    </row>
    <row r="21" spans="1:5">
      <c r="A21" s="38">
        <v>1.1100000000000001</v>
      </c>
      <c r="B21" s="28">
        <v>16</v>
      </c>
      <c r="C21">
        <f t="shared" si="0"/>
        <v>1.6875000000000007</v>
      </c>
      <c r="E21" s="38">
        <f t="shared" si="1"/>
        <v>1.1100000000000001</v>
      </c>
    </row>
    <row r="22" spans="1:5">
      <c r="A22" s="38">
        <v>1.1200000000000001</v>
      </c>
      <c r="B22" s="28">
        <v>16</v>
      </c>
      <c r="C22">
        <f t="shared" si="0"/>
        <v>1.7500000000000007</v>
      </c>
      <c r="E22" s="38">
        <f t="shared" si="1"/>
        <v>1.1200000000000001</v>
      </c>
    </row>
    <row r="23" spans="1:5">
      <c r="A23" s="38">
        <v>1.1299999999999999</v>
      </c>
      <c r="B23" s="28">
        <v>16</v>
      </c>
      <c r="C23">
        <f t="shared" si="0"/>
        <v>1.8124999999999993</v>
      </c>
      <c r="E23" s="38">
        <f t="shared" si="1"/>
        <v>1.1299999999999999</v>
      </c>
    </row>
    <row r="24" spans="1:5">
      <c r="A24" s="38">
        <v>1.1399999999999999</v>
      </c>
      <c r="B24" s="28">
        <v>16</v>
      </c>
      <c r="C24">
        <f t="shared" si="0"/>
        <v>1.8749999999999993</v>
      </c>
      <c r="E24" s="38">
        <f t="shared" si="1"/>
        <v>1.1399999999999999</v>
      </c>
    </row>
    <row r="25" spans="1:5">
      <c r="A25" s="38">
        <v>1.1499999999999999</v>
      </c>
      <c r="B25" s="28">
        <v>16</v>
      </c>
      <c r="C25">
        <f t="shared" si="0"/>
        <v>1.9374999999999996</v>
      </c>
      <c r="E25" s="38">
        <f t="shared" si="1"/>
        <v>1.1499999999999999</v>
      </c>
    </row>
  </sheetData>
  <phoneticPr fontId="2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D6"/>
  <sheetViews>
    <sheetView zoomScale="190" zoomScaleNormal="190" workbookViewId="0">
      <selection activeCell="B5" sqref="B5"/>
    </sheetView>
  </sheetViews>
  <sheetFormatPr defaultRowHeight="12.75"/>
  <cols>
    <col min="1" max="1" width="15.83203125" customWidth="1"/>
    <col min="2" max="2" width="8.6640625" customWidth="1"/>
    <col min="3" max="4" width="6.83203125" customWidth="1"/>
  </cols>
  <sheetData>
    <row r="1" spans="1:4" ht="15">
      <c r="A1" s="42" t="s">
        <v>263</v>
      </c>
      <c r="B1" s="19">
        <v>0.09</v>
      </c>
      <c r="C1" s="19">
        <v>0.09</v>
      </c>
      <c r="D1" s="19">
        <v>0.11</v>
      </c>
    </row>
    <row r="2" spans="1:4" ht="15">
      <c r="A2" s="42" t="s">
        <v>264</v>
      </c>
      <c r="B2" s="19">
        <v>0.11</v>
      </c>
      <c r="C2" s="19">
        <v>0.09</v>
      </c>
      <c r="D2" s="19">
        <v>0.1</v>
      </c>
    </row>
    <row r="3" spans="1:4" ht="15">
      <c r="A3" s="42" t="s">
        <v>265</v>
      </c>
      <c r="B3" s="19">
        <v>0.1</v>
      </c>
      <c r="C3" s="19">
        <v>0.09</v>
      </c>
      <c r="D3" s="19">
        <v>0.09</v>
      </c>
    </row>
    <row r="5" spans="1:4" ht="15">
      <c r="A5" s="44" t="s">
        <v>20</v>
      </c>
      <c r="B5" s="74">
        <f>FVSCHEDULE(1000,B1:B3)</f>
        <v>1330.89</v>
      </c>
      <c r="C5" s="74">
        <f>FVSCHEDULE(1000,C1:C3)</f>
        <v>1295.0290000000002</v>
      </c>
      <c r="D5" s="74">
        <f>FVSCHEDULE(1000,D1:D3)</f>
        <v>1330.89</v>
      </c>
    </row>
    <row r="6" spans="1:4" ht="15">
      <c r="B6" s="49" t="s">
        <v>266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6"/>
  <sheetViews>
    <sheetView zoomScale="190" zoomScaleNormal="190" workbookViewId="0">
      <selection activeCell="B6" sqref="B6"/>
    </sheetView>
  </sheetViews>
  <sheetFormatPr defaultRowHeight="12.75"/>
  <cols>
    <col min="1" max="1" width="17.83203125" customWidth="1"/>
    <col min="2" max="2" width="7.6640625" customWidth="1"/>
  </cols>
  <sheetData>
    <row r="1" spans="1:3" ht="15">
      <c r="A1" s="42" t="s">
        <v>100</v>
      </c>
      <c r="B1" s="3">
        <v>60</v>
      </c>
      <c r="C1" s="46" t="s">
        <v>107</v>
      </c>
    </row>
    <row r="2" spans="1:3" ht="15">
      <c r="A2" s="42" t="s">
        <v>109</v>
      </c>
      <c r="B2" s="3">
        <v>377</v>
      </c>
      <c r="C2" s="46" t="s">
        <v>94</v>
      </c>
    </row>
    <row r="3" spans="1:3" ht="15">
      <c r="A3" s="42" t="s">
        <v>98</v>
      </c>
      <c r="B3" s="3">
        <v>-20000</v>
      </c>
      <c r="C3" s="46" t="s">
        <v>95</v>
      </c>
    </row>
    <row r="5" spans="1:3" ht="15">
      <c r="A5" s="47" t="s">
        <v>108</v>
      </c>
    </row>
    <row r="6" spans="1:3" ht="15">
      <c r="A6" s="44" t="s">
        <v>99</v>
      </c>
      <c r="B6" s="48">
        <f>RATE(B1, B2, B3)*12</f>
        <v>4.9536368174017673E-2</v>
      </c>
      <c r="C6" s="22" t="s">
        <v>110</v>
      </c>
    </row>
  </sheetData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4"/>
  <sheetViews>
    <sheetView topLeftCell="A26" workbookViewId="0">
      <selection activeCell="D3" sqref="D3:D54"/>
    </sheetView>
  </sheetViews>
  <sheetFormatPr defaultRowHeight="12.75"/>
  <sheetData>
    <row r="1" spans="1:4">
      <c r="A1" s="2" t="s">
        <v>53</v>
      </c>
    </row>
    <row r="2" spans="1:4" ht="13.5">
      <c r="A2" s="1" t="s">
        <v>52</v>
      </c>
      <c r="D2" s="1" t="s">
        <v>34</v>
      </c>
    </row>
    <row r="3" spans="1:4" ht="13.5">
      <c r="A3" s="1" t="s">
        <v>51</v>
      </c>
      <c r="D3" s="1" t="s">
        <v>40</v>
      </c>
    </row>
    <row r="4" spans="1:4" ht="13.5">
      <c r="A4" s="1" t="s">
        <v>50</v>
      </c>
      <c r="D4" s="1" t="s">
        <v>39</v>
      </c>
    </row>
    <row r="5" spans="1:4" ht="13.5">
      <c r="A5" s="1" t="s">
        <v>49</v>
      </c>
      <c r="D5" s="1" t="s">
        <v>28</v>
      </c>
    </row>
    <row r="6" spans="1:4" ht="13.5">
      <c r="A6" s="1" t="s">
        <v>48</v>
      </c>
      <c r="D6" s="1" t="s">
        <v>35</v>
      </c>
    </row>
    <row r="7" spans="1:4" ht="13.5">
      <c r="A7" s="1" t="s">
        <v>47</v>
      </c>
      <c r="D7" s="1" t="s">
        <v>19</v>
      </c>
    </row>
    <row r="8" spans="1:4" ht="13.5">
      <c r="A8" s="1" t="s">
        <v>46</v>
      </c>
      <c r="D8" s="1" t="s">
        <v>10</v>
      </c>
    </row>
    <row r="9" spans="1:4" ht="13.5">
      <c r="A9" s="1" t="s">
        <v>45</v>
      </c>
      <c r="D9" s="1" t="s">
        <v>11</v>
      </c>
    </row>
    <row r="10" spans="1:4" ht="13.5">
      <c r="A10" s="1" t="s">
        <v>44</v>
      </c>
      <c r="D10" s="1" t="s">
        <v>18</v>
      </c>
    </row>
    <row r="11" spans="1:4" ht="13.5">
      <c r="A11" s="1" t="s">
        <v>43</v>
      </c>
      <c r="D11" s="1" t="s">
        <v>22</v>
      </c>
    </row>
    <row r="12" spans="1:4" ht="13.5">
      <c r="A12" s="1" t="s">
        <v>42</v>
      </c>
      <c r="D12" s="1" t="s">
        <v>24</v>
      </c>
    </row>
    <row r="13" spans="1:4" ht="13.5">
      <c r="A13" s="1" t="s">
        <v>41</v>
      </c>
      <c r="D13" s="1" t="s">
        <v>26</v>
      </c>
    </row>
    <row r="14" spans="1:4" ht="13.5">
      <c r="A14" s="1" t="s">
        <v>40</v>
      </c>
      <c r="D14" s="1" t="s">
        <v>42</v>
      </c>
    </row>
    <row r="15" spans="1:4" ht="13.5">
      <c r="A15" s="1" t="s">
        <v>39</v>
      </c>
      <c r="D15" s="1" t="s">
        <v>13</v>
      </c>
    </row>
    <row r="16" spans="1:4" ht="13.5">
      <c r="A16" s="1" t="s">
        <v>38</v>
      </c>
      <c r="D16" s="1" t="s">
        <v>12</v>
      </c>
    </row>
    <row r="17" spans="1:4" ht="13.5">
      <c r="A17" s="1" t="s">
        <v>37</v>
      </c>
      <c r="D17" s="1" t="s">
        <v>43</v>
      </c>
    </row>
    <row r="18" spans="1:4" ht="13.5">
      <c r="A18" s="1" t="s">
        <v>36</v>
      </c>
      <c r="D18" s="1" t="s">
        <v>47</v>
      </c>
    </row>
    <row r="19" spans="1:4" ht="13.5">
      <c r="A19" s="1" t="s">
        <v>35</v>
      </c>
      <c r="D19" s="1" t="s">
        <v>2</v>
      </c>
    </row>
    <row r="20" spans="1:4" ht="13.5">
      <c r="A20" s="1" t="s">
        <v>34</v>
      </c>
      <c r="D20" s="1" t="s">
        <v>3</v>
      </c>
    </row>
    <row r="21" spans="1:4" ht="13.5">
      <c r="A21" s="1" t="s">
        <v>33</v>
      </c>
      <c r="D21" s="1" t="s">
        <v>23</v>
      </c>
    </row>
    <row r="22" spans="1:4" ht="13.5">
      <c r="A22" s="1" t="s">
        <v>32</v>
      </c>
      <c r="D22" s="1" t="s">
        <v>0</v>
      </c>
    </row>
    <row r="23" spans="1:4" ht="13.5">
      <c r="A23" s="1" t="s">
        <v>31</v>
      </c>
      <c r="D23" s="1" t="s">
        <v>1</v>
      </c>
    </row>
    <row r="24" spans="1:4" ht="13.5">
      <c r="A24" s="1" t="s">
        <v>30</v>
      </c>
      <c r="D24" s="1" t="s">
        <v>14</v>
      </c>
    </row>
    <row r="25" spans="1:4" ht="13.5">
      <c r="A25" s="1" t="s">
        <v>29</v>
      </c>
      <c r="D25" s="1" t="s">
        <v>20</v>
      </c>
    </row>
    <row r="26" spans="1:4" ht="13.5">
      <c r="A26" s="1" t="s">
        <v>28</v>
      </c>
      <c r="D26" s="1" t="s">
        <v>21</v>
      </c>
    </row>
    <row r="27" spans="1:4" ht="13.5">
      <c r="A27" s="1" t="s">
        <v>27</v>
      </c>
      <c r="D27" s="1" t="s">
        <v>27</v>
      </c>
    </row>
    <row r="28" spans="1:4" ht="13.5">
      <c r="A28" s="1" t="s">
        <v>26</v>
      </c>
      <c r="D28" s="1" t="s">
        <v>48</v>
      </c>
    </row>
    <row r="29" spans="1:4" ht="13.5">
      <c r="A29" s="1" t="s">
        <v>25</v>
      </c>
      <c r="D29" s="1" t="s">
        <v>49</v>
      </c>
    </row>
    <row r="30" spans="1:4" ht="13.5">
      <c r="A30" s="1" t="s">
        <v>24</v>
      </c>
      <c r="D30" s="1" t="s">
        <v>29</v>
      </c>
    </row>
    <row r="31" spans="1:4" ht="13.5">
      <c r="A31" s="1" t="s">
        <v>23</v>
      </c>
      <c r="D31" s="1" t="s">
        <v>36</v>
      </c>
    </row>
    <row r="32" spans="1:4" ht="13.5">
      <c r="A32" s="1" t="s">
        <v>22</v>
      </c>
      <c r="D32" s="1" t="s">
        <v>50</v>
      </c>
    </row>
    <row r="33" spans="1:4" ht="13.5">
      <c r="A33" s="1" t="s">
        <v>21</v>
      </c>
      <c r="D33" s="1" t="s">
        <v>4</v>
      </c>
    </row>
    <row r="34" spans="1:4" ht="13.5">
      <c r="A34" s="1" t="s">
        <v>20</v>
      </c>
      <c r="D34" s="1" t="s">
        <v>5</v>
      </c>
    </row>
    <row r="35" spans="1:4" ht="13.5">
      <c r="A35" s="1" t="s">
        <v>19</v>
      </c>
      <c r="D35" s="1" t="s">
        <v>6</v>
      </c>
    </row>
    <row r="36" spans="1:4" ht="13.5">
      <c r="A36" s="1" t="s">
        <v>18</v>
      </c>
      <c r="D36" s="1" t="s">
        <v>7</v>
      </c>
    </row>
    <row r="37" spans="1:4" ht="13.5">
      <c r="A37" s="1" t="s">
        <v>17</v>
      </c>
      <c r="D37" s="1" t="s">
        <v>8</v>
      </c>
    </row>
    <row r="38" spans="1:4" ht="13.5">
      <c r="A38" s="1" t="s">
        <v>16</v>
      </c>
      <c r="D38" s="1" t="s">
        <v>9</v>
      </c>
    </row>
    <row r="39" spans="1:4" ht="13.5">
      <c r="A39" s="1" t="s">
        <v>15</v>
      </c>
      <c r="D39" s="1" t="s">
        <v>15</v>
      </c>
    </row>
    <row r="40" spans="1:4" ht="13.5">
      <c r="A40" s="1" t="s">
        <v>14</v>
      </c>
      <c r="D40" s="1" t="s">
        <v>16</v>
      </c>
    </row>
    <row r="41" spans="1:4" ht="13.5">
      <c r="A41" s="1" t="s">
        <v>13</v>
      </c>
      <c r="D41" s="1" t="s">
        <v>17</v>
      </c>
    </row>
    <row r="42" spans="1:4" ht="13.5">
      <c r="A42" s="1" t="s">
        <v>12</v>
      </c>
      <c r="D42" s="1" t="s">
        <v>25</v>
      </c>
    </row>
    <row r="43" spans="1:4" ht="13.5">
      <c r="A43" s="1" t="s">
        <v>11</v>
      </c>
      <c r="D43" s="1" t="s">
        <v>30</v>
      </c>
    </row>
    <row r="44" spans="1:4" ht="13.5">
      <c r="A44" s="1" t="s">
        <v>10</v>
      </c>
      <c r="D44" s="1" t="s">
        <v>31</v>
      </c>
    </row>
    <row r="45" spans="1:4" ht="13.5">
      <c r="A45" s="1" t="s">
        <v>9</v>
      </c>
      <c r="D45" s="1" t="s">
        <v>32</v>
      </c>
    </row>
    <row r="46" spans="1:4" ht="13.5">
      <c r="A46" s="1" t="s">
        <v>8</v>
      </c>
      <c r="D46" s="1" t="s">
        <v>33</v>
      </c>
    </row>
    <row r="47" spans="1:4" ht="13.5">
      <c r="A47" s="1" t="s">
        <v>7</v>
      </c>
      <c r="D47" s="1" t="s">
        <v>37</v>
      </c>
    </row>
    <row r="48" spans="1:4" ht="13.5">
      <c r="A48" s="1" t="s">
        <v>6</v>
      </c>
      <c r="D48" s="1" t="s">
        <v>38</v>
      </c>
    </row>
    <row r="49" spans="1:4" ht="13.5">
      <c r="A49" s="1" t="s">
        <v>5</v>
      </c>
      <c r="D49" s="1" t="s">
        <v>41</v>
      </c>
    </row>
    <row r="50" spans="1:4" ht="13.5">
      <c r="A50" s="1" t="s">
        <v>4</v>
      </c>
      <c r="D50" s="1" t="s">
        <v>44</v>
      </c>
    </row>
    <row r="51" spans="1:4" ht="13.5">
      <c r="A51" s="1" t="s">
        <v>3</v>
      </c>
      <c r="D51" s="1" t="s">
        <v>45</v>
      </c>
    </row>
    <row r="52" spans="1:4" ht="13.5">
      <c r="A52" s="1" t="s">
        <v>2</v>
      </c>
      <c r="D52" s="1" t="s">
        <v>46</v>
      </c>
    </row>
    <row r="53" spans="1:4" ht="13.5">
      <c r="A53" s="1" t="s">
        <v>1</v>
      </c>
      <c r="D53" s="1" t="s">
        <v>51</v>
      </c>
    </row>
    <row r="54" spans="1:4" ht="13.5">
      <c r="A54" s="1" t="s">
        <v>0</v>
      </c>
      <c r="D54" s="1" t="s">
        <v>52</v>
      </c>
    </row>
  </sheetData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B12"/>
  <sheetViews>
    <sheetView workbookViewId="0">
      <selection sqref="A1:B12"/>
    </sheetView>
  </sheetViews>
  <sheetFormatPr defaultRowHeight="12.75"/>
  <cols>
    <col min="1" max="1" width="12.1640625" bestFit="1" customWidth="1"/>
    <col min="2" max="2" width="119.83203125" bestFit="1" customWidth="1"/>
  </cols>
  <sheetData>
    <row r="1" spans="1:2">
      <c r="A1" s="9" t="s">
        <v>54</v>
      </c>
      <c r="B1" s="9" t="s">
        <v>64</v>
      </c>
    </row>
    <row r="2" spans="1:2">
      <c r="A2" s="10">
        <v>39763</v>
      </c>
      <c r="B2" s="3" t="s">
        <v>58</v>
      </c>
    </row>
    <row r="3" spans="1:2">
      <c r="A3" s="10">
        <v>44256</v>
      </c>
      <c r="B3" s="3" t="s">
        <v>65</v>
      </c>
    </row>
    <row r="4" spans="1:2">
      <c r="A4" s="10">
        <v>39736</v>
      </c>
      <c r="B4" s="3" t="s">
        <v>56</v>
      </c>
    </row>
    <row r="5" spans="1:2">
      <c r="A5" s="10">
        <v>39873</v>
      </c>
      <c r="B5" s="3" t="s">
        <v>85</v>
      </c>
    </row>
    <row r="6" spans="1:2">
      <c r="A6" s="11">
        <v>7.85E-2</v>
      </c>
      <c r="B6" s="3" t="s">
        <v>66</v>
      </c>
    </row>
    <row r="7" spans="1:2">
      <c r="A7" s="11">
        <v>6.25E-2</v>
      </c>
      <c r="B7" s="3" t="s">
        <v>73</v>
      </c>
    </row>
    <row r="8" spans="1:2">
      <c r="A8" s="3">
        <v>100</v>
      </c>
      <c r="B8" s="3" t="s">
        <v>86</v>
      </c>
    </row>
    <row r="9" spans="1:2">
      <c r="A9" s="3">
        <v>2</v>
      </c>
      <c r="B9" s="3" t="s">
        <v>61</v>
      </c>
    </row>
    <row r="10" spans="1:2">
      <c r="A10" s="3">
        <v>1</v>
      </c>
      <c r="B10" s="3" t="s">
        <v>69</v>
      </c>
    </row>
    <row r="11" spans="1:2">
      <c r="A11" s="9" t="s">
        <v>63</v>
      </c>
      <c r="B11" s="9" t="s">
        <v>64</v>
      </c>
    </row>
    <row r="12" spans="1:2">
      <c r="A12" s="3">
        <f>ODDFPRICE(A2,A3,A4,A5,A6,A7,A8,A9,A10)</f>
        <v>113.59771747407883</v>
      </c>
      <c r="B12" s="3" t="s">
        <v>87</v>
      </c>
    </row>
  </sheetData>
  <phoneticPr fontId="2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B12"/>
  <sheetViews>
    <sheetView workbookViewId="0">
      <selection sqref="A1:B12"/>
    </sheetView>
  </sheetViews>
  <sheetFormatPr defaultRowHeight="12.75"/>
  <cols>
    <col min="1" max="1" width="12.1640625" bestFit="1" customWidth="1"/>
    <col min="2" max="2" width="114.5" bestFit="1" customWidth="1"/>
  </cols>
  <sheetData>
    <row r="1" spans="1:2">
      <c r="A1" s="9" t="s">
        <v>54</v>
      </c>
      <c r="B1" s="9" t="s">
        <v>64</v>
      </c>
    </row>
    <row r="2" spans="1:2">
      <c r="A2" s="10">
        <v>39763</v>
      </c>
      <c r="B2" s="3" t="s">
        <v>58</v>
      </c>
    </row>
    <row r="3" spans="1:2">
      <c r="A3" s="10">
        <v>44256</v>
      </c>
      <c r="B3" s="3" t="s">
        <v>65</v>
      </c>
    </row>
    <row r="4" spans="1:2">
      <c r="A4" s="10">
        <v>39736</v>
      </c>
      <c r="B4" s="3" t="s">
        <v>56</v>
      </c>
    </row>
    <row r="5" spans="1:2">
      <c r="A5" s="10">
        <v>39873</v>
      </c>
      <c r="B5" s="3" t="s">
        <v>85</v>
      </c>
    </row>
    <row r="6" spans="1:2">
      <c r="A6" s="11">
        <v>5.7500000000000002E-2</v>
      </c>
      <c r="B6" s="3" t="s">
        <v>66</v>
      </c>
    </row>
    <row r="7" spans="1:2">
      <c r="A7" s="3">
        <v>84.5</v>
      </c>
      <c r="B7" s="3" t="s">
        <v>71</v>
      </c>
    </row>
    <row r="8" spans="1:2">
      <c r="A8" s="3">
        <v>100</v>
      </c>
      <c r="B8" s="3" t="s">
        <v>86</v>
      </c>
    </row>
    <row r="9" spans="1:2">
      <c r="A9" s="3">
        <v>2</v>
      </c>
      <c r="B9" s="3" t="s">
        <v>61</v>
      </c>
    </row>
    <row r="10" spans="1:2">
      <c r="A10" s="3">
        <v>0</v>
      </c>
      <c r="B10" s="3" t="s">
        <v>62</v>
      </c>
    </row>
    <row r="11" spans="1:2">
      <c r="A11" s="9" t="s">
        <v>63</v>
      </c>
      <c r="B11" s="9" t="s">
        <v>64</v>
      </c>
    </row>
    <row r="12" spans="1:2">
      <c r="A12" s="3">
        <f>ODDFYIELD(A2,A3,A4,A5,A6,A7,A8,A9,A10)</f>
        <v>7.7245541597298878E-2</v>
      </c>
      <c r="B12" s="3" t="s">
        <v>88</v>
      </c>
    </row>
  </sheetData>
  <phoneticPr fontId="2" type="noConversion"/>
  <pageMargins left="0.75" right="0.75" top="1" bottom="1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B11"/>
  <sheetViews>
    <sheetView workbookViewId="0">
      <selection sqref="A1:B12"/>
    </sheetView>
  </sheetViews>
  <sheetFormatPr defaultRowHeight="12.75"/>
  <cols>
    <col min="1" max="1" width="12.1640625" bestFit="1" customWidth="1"/>
    <col min="2" max="2" width="115.33203125" bestFit="1" customWidth="1"/>
  </cols>
  <sheetData>
    <row r="1" spans="1:2">
      <c r="A1" s="9" t="s">
        <v>54</v>
      </c>
      <c r="B1" s="9" t="s">
        <v>64</v>
      </c>
    </row>
    <row r="2" spans="1:2">
      <c r="A2" s="10">
        <v>39485</v>
      </c>
      <c r="B2" s="3" t="s">
        <v>58</v>
      </c>
    </row>
    <row r="3" spans="1:2">
      <c r="A3" s="10">
        <v>39614</v>
      </c>
      <c r="B3" s="3" t="s">
        <v>65</v>
      </c>
    </row>
    <row r="4" spans="1:2">
      <c r="A4" s="10">
        <v>39370</v>
      </c>
      <c r="B4" s="3" t="s">
        <v>89</v>
      </c>
    </row>
    <row r="5" spans="1:2">
      <c r="A5" s="11">
        <v>3.7499999999999999E-2</v>
      </c>
      <c r="B5" s="3" t="s">
        <v>66</v>
      </c>
    </row>
    <row r="6" spans="1:2">
      <c r="A6" s="11">
        <v>4.0500000000000001E-2</v>
      </c>
      <c r="B6" s="3" t="s">
        <v>73</v>
      </c>
    </row>
    <row r="7" spans="1:2">
      <c r="A7" s="13">
        <v>100</v>
      </c>
      <c r="B7" s="3" t="s">
        <v>86</v>
      </c>
    </row>
    <row r="8" spans="1:2">
      <c r="A8" s="3">
        <v>2</v>
      </c>
      <c r="B8" s="3" t="s">
        <v>61</v>
      </c>
    </row>
    <row r="9" spans="1:2">
      <c r="A9" s="3">
        <v>0</v>
      </c>
      <c r="B9" s="3" t="s">
        <v>62</v>
      </c>
    </row>
    <row r="10" spans="1:2">
      <c r="A10" s="9" t="s">
        <v>63</v>
      </c>
      <c r="B10" s="9" t="s">
        <v>64</v>
      </c>
    </row>
    <row r="11" spans="1:2">
      <c r="A11" s="3">
        <f>ODDLPRICE(A2,A3,A4,A5,A6,A7,A8,A9)</f>
        <v>99.87828601472134</v>
      </c>
      <c r="B11" s="3" t="s">
        <v>90</v>
      </c>
    </row>
  </sheetData>
  <phoneticPr fontId="2" type="noConversion"/>
  <pageMargins left="0.75" right="0.75" top="1" bottom="1" header="0.5" footer="0.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B11"/>
  <sheetViews>
    <sheetView workbookViewId="0">
      <selection sqref="A1:B12"/>
    </sheetView>
  </sheetViews>
  <sheetFormatPr defaultRowHeight="12.75"/>
  <cols>
    <col min="1" max="1" width="12.1640625" bestFit="1" customWidth="1"/>
    <col min="2" max="2" width="102.5" bestFit="1" customWidth="1"/>
  </cols>
  <sheetData>
    <row r="1" spans="1:2">
      <c r="A1" s="9" t="s">
        <v>54</v>
      </c>
      <c r="B1" s="9" t="s">
        <v>55</v>
      </c>
    </row>
    <row r="2" spans="1:2">
      <c r="A2" s="10">
        <v>39558</v>
      </c>
      <c r="B2" s="3" t="s">
        <v>58</v>
      </c>
    </row>
    <row r="3" spans="1:2">
      <c r="A3" s="10">
        <v>39614</v>
      </c>
      <c r="B3" s="3" t="s">
        <v>65</v>
      </c>
    </row>
    <row r="4" spans="1:2">
      <c r="A4" s="10">
        <v>39440</v>
      </c>
      <c r="B4" s="3" t="s">
        <v>89</v>
      </c>
    </row>
    <row r="5" spans="1:2">
      <c r="A5" s="11">
        <v>3.7499999999999999E-2</v>
      </c>
      <c r="B5" s="3" t="s">
        <v>66</v>
      </c>
    </row>
    <row r="6" spans="1:2">
      <c r="A6" s="15">
        <v>99.875</v>
      </c>
      <c r="B6" s="3" t="s">
        <v>71</v>
      </c>
    </row>
    <row r="7" spans="1:2">
      <c r="A7" s="13">
        <v>100</v>
      </c>
      <c r="B7" s="3" t="s">
        <v>72</v>
      </c>
    </row>
    <row r="8" spans="1:2">
      <c r="A8" s="3">
        <v>2</v>
      </c>
      <c r="B8" s="3" t="s">
        <v>61</v>
      </c>
    </row>
    <row r="9" spans="1:2">
      <c r="A9" s="3">
        <v>0</v>
      </c>
      <c r="B9" s="3" t="s">
        <v>62</v>
      </c>
    </row>
    <row r="10" spans="1:2">
      <c r="A10" s="9" t="s">
        <v>63</v>
      </c>
      <c r="B10" s="9" t="s">
        <v>64</v>
      </c>
    </row>
    <row r="11" spans="1:2">
      <c r="A11" s="3">
        <f>ODDLYIELD(A2,A3,A4,A5,A6,A7,A8,A9)</f>
        <v>4.5192235629169158E-2</v>
      </c>
      <c r="B11" s="3" t="s">
        <v>91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8"/>
  <sheetViews>
    <sheetView zoomScale="190" zoomScaleNormal="190" workbookViewId="0">
      <selection activeCell="B5" sqref="B5"/>
    </sheetView>
  </sheetViews>
  <sheetFormatPr defaultRowHeight="12.75"/>
  <cols>
    <col min="1" max="1" width="19.1640625" bestFit="1" customWidth="1"/>
    <col min="2" max="2" width="14.1640625" customWidth="1"/>
  </cols>
  <sheetData>
    <row r="1" spans="1:3" ht="15">
      <c r="A1" s="42" t="s">
        <v>111</v>
      </c>
      <c r="B1">
        <v>-1500</v>
      </c>
      <c r="C1" s="43" t="s">
        <v>113</v>
      </c>
    </row>
    <row r="2" spans="1:3" ht="15">
      <c r="A2" s="42" t="s">
        <v>99</v>
      </c>
      <c r="B2" s="19">
        <v>0.06</v>
      </c>
      <c r="C2" s="43" t="s">
        <v>106</v>
      </c>
    </row>
    <row r="3" spans="1:3" ht="15">
      <c r="A3" s="42" t="s">
        <v>100</v>
      </c>
      <c r="B3">
        <f>15*12</f>
        <v>180</v>
      </c>
      <c r="C3" s="49" t="s">
        <v>112</v>
      </c>
    </row>
    <row r="5" spans="1:3" ht="15">
      <c r="A5" s="44" t="s">
        <v>39</v>
      </c>
      <c r="B5" s="45">
        <f>PV(B2/12,B3,B1)</f>
        <v>177755.27200140723</v>
      </c>
      <c r="C5" s="22" t="s">
        <v>114</v>
      </c>
    </row>
    <row r="7" spans="1:3" ht="15">
      <c r="A7" s="43" t="s">
        <v>115</v>
      </c>
    </row>
    <row r="8" spans="1:3" ht="15">
      <c r="A8" s="43" t="s">
        <v>116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303"/>
  <sheetViews>
    <sheetView zoomScale="190" zoomScaleNormal="190" workbookViewId="0">
      <selection activeCell="B5" sqref="B5"/>
    </sheetView>
  </sheetViews>
  <sheetFormatPr defaultRowHeight="12.75"/>
  <cols>
    <col min="1" max="1" width="23.1640625" bestFit="1" customWidth="1"/>
    <col min="2" max="2" width="13.6640625" customWidth="1"/>
    <col min="3" max="3" width="26.6640625" bestFit="1" customWidth="1"/>
  </cols>
  <sheetData>
    <row r="1" spans="1:3" ht="15">
      <c r="A1" s="42" t="s">
        <v>117</v>
      </c>
      <c r="B1">
        <v>457124</v>
      </c>
      <c r="C1" s="43" t="s">
        <v>120</v>
      </c>
    </row>
    <row r="2" spans="1:3" ht="15">
      <c r="A2" s="42" t="s">
        <v>118</v>
      </c>
      <c r="B2">
        <v>-2800</v>
      </c>
      <c r="C2" s="43" t="s">
        <v>121</v>
      </c>
    </row>
    <row r="3" spans="1:3" ht="15">
      <c r="A3" s="42" t="s">
        <v>119</v>
      </c>
      <c r="B3" s="25">
        <v>3.5000000000000003E-2</v>
      </c>
      <c r="C3" s="43" t="s">
        <v>122</v>
      </c>
    </row>
    <row r="5" spans="1:3" ht="15">
      <c r="A5" s="44" t="s">
        <v>101</v>
      </c>
      <c r="B5" s="50">
        <f>NPER(B3/12,B2,B1)</f>
        <v>222.01102326259419</v>
      </c>
      <c r="C5" s="22" t="s">
        <v>125</v>
      </c>
    </row>
    <row r="6" spans="1:3">
      <c r="A6" t="s">
        <v>123</v>
      </c>
      <c r="B6" s="26">
        <f>B5/12</f>
        <v>18.500918605216182</v>
      </c>
      <c r="C6" s="22" t="s">
        <v>126</v>
      </c>
    </row>
    <row r="11" spans="1:3">
      <c r="B11" s="27"/>
    </row>
    <row r="12" spans="1:3">
      <c r="B12" s="27"/>
    </row>
    <row r="13" spans="1:3">
      <c r="B13" s="27"/>
    </row>
    <row r="14" spans="1:3">
      <c r="B14" s="27"/>
    </row>
    <row r="15" spans="1:3">
      <c r="B15" s="27"/>
    </row>
    <row r="16" spans="1:3">
      <c r="B16" s="27"/>
    </row>
    <row r="17" spans="2:2">
      <c r="B17" s="27"/>
    </row>
    <row r="18" spans="2:2">
      <c r="B18" s="27"/>
    </row>
    <row r="19" spans="2:2">
      <c r="B19" s="27"/>
    </row>
    <row r="20" spans="2:2">
      <c r="B20" s="27"/>
    </row>
    <row r="21" spans="2:2">
      <c r="B21" s="27"/>
    </row>
    <row r="22" spans="2:2">
      <c r="B22" s="27"/>
    </row>
    <row r="23" spans="2:2">
      <c r="B23" s="27"/>
    </row>
    <row r="24" spans="2:2">
      <c r="B24" s="27"/>
    </row>
    <row r="25" spans="2:2">
      <c r="B25" s="27"/>
    </row>
    <row r="26" spans="2:2">
      <c r="B26" s="27"/>
    </row>
    <row r="27" spans="2:2">
      <c r="B27" s="27"/>
    </row>
    <row r="28" spans="2:2">
      <c r="B28" s="27"/>
    </row>
    <row r="29" spans="2:2">
      <c r="B29" s="27"/>
    </row>
    <row r="30" spans="2:2">
      <c r="B30" s="27"/>
    </row>
    <row r="31" spans="2:2">
      <c r="B31" s="27"/>
    </row>
    <row r="32" spans="2:2">
      <c r="B32" s="27"/>
    </row>
    <row r="33" spans="2:2">
      <c r="B33" s="27"/>
    </row>
    <row r="34" spans="2:2">
      <c r="B34" s="27"/>
    </row>
    <row r="35" spans="2:2">
      <c r="B35" s="27"/>
    </row>
    <row r="36" spans="2:2">
      <c r="B36" s="27"/>
    </row>
    <row r="37" spans="2:2">
      <c r="B37" s="27"/>
    </row>
    <row r="38" spans="2:2">
      <c r="B38" s="27"/>
    </row>
    <row r="39" spans="2:2">
      <c r="B39" s="27"/>
    </row>
    <row r="40" spans="2:2">
      <c r="B40" s="27"/>
    </row>
    <row r="41" spans="2:2">
      <c r="B41" s="27"/>
    </row>
    <row r="42" spans="2:2">
      <c r="B42" s="27"/>
    </row>
    <row r="43" spans="2:2">
      <c r="B43" s="27"/>
    </row>
    <row r="44" spans="2:2">
      <c r="B44" s="27"/>
    </row>
    <row r="45" spans="2:2">
      <c r="B45" s="27"/>
    </row>
    <row r="46" spans="2:2">
      <c r="B46" s="27"/>
    </row>
    <row r="47" spans="2:2">
      <c r="B47" s="27"/>
    </row>
    <row r="48" spans="2:2">
      <c r="B48" s="27"/>
    </row>
    <row r="49" spans="2:2">
      <c r="B49" s="27"/>
    </row>
    <row r="50" spans="2:2">
      <c r="B50" s="27"/>
    </row>
    <row r="51" spans="2:2">
      <c r="B51" s="27"/>
    </row>
    <row r="52" spans="2:2">
      <c r="B52" s="27"/>
    </row>
    <row r="53" spans="2:2">
      <c r="B53" s="27"/>
    </row>
    <row r="54" spans="2:2">
      <c r="B54" s="27"/>
    </row>
    <row r="55" spans="2:2">
      <c r="B55" s="27"/>
    </row>
    <row r="56" spans="2:2">
      <c r="B56" s="27"/>
    </row>
    <row r="57" spans="2:2">
      <c r="B57" s="27"/>
    </row>
    <row r="58" spans="2:2">
      <c r="B58" s="27"/>
    </row>
    <row r="59" spans="2:2">
      <c r="B59" s="27"/>
    </row>
    <row r="60" spans="2:2">
      <c r="B60" s="27"/>
    </row>
    <row r="61" spans="2:2">
      <c r="B61" s="27"/>
    </row>
    <row r="62" spans="2:2">
      <c r="B62" s="27"/>
    </row>
    <row r="63" spans="2:2">
      <c r="B63" s="27"/>
    </row>
    <row r="64" spans="2:2">
      <c r="B64" s="27"/>
    </row>
    <row r="65" spans="2:2">
      <c r="B65" s="27"/>
    </row>
    <row r="66" spans="2:2">
      <c r="B66" s="27"/>
    </row>
    <row r="67" spans="2:2">
      <c r="B67" s="27"/>
    </row>
    <row r="68" spans="2:2">
      <c r="B68" s="27"/>
    </row>
    <row r="69" spans="2:2">
      <c r="B69" s="27"/>
    </row>
    <row r="70" spans="2:2">
      <c r="B70" s="27"/>
    </row>
    <row r="71" spans="2:2">
      <c r="B71" s="27"/>
    </row>
    <row r="72" spans="2:2">
      <c r="B72" s="27"/>
    </row>
    <row r="73" spans="2:2">
      <c r="B73" s="27"/>
    </row>
    <row r="74" spans="2:2">
      <c r="B74" s="27"/>
    </row>
    <row r="75" spans="2:2">
      <c r="B75" s="27"/>
    </row>
    <row r="76" spans="2:2">
      <c r="B76" s="27"/>
    </row>
    <row r="77" spans="2:2">
      <c r="B77" s="27"/>
    </row>
    <row r="78" spans="2:2">
      <c r="B78" s="27"/>
    </row>
    <row r="79" spans="2:2">
      <c r="B79" s="27"/>
    </row>
    <row r="80" spans="2:2">
      <c r="B80" s="27"/>
    </row>
    <row r="81" spans="2:2">
      <c r="B81" s="27"/>
    </row>
    <row r="82" spans="2:2">
      <c r="B82" s="27"/>
    </row>
    <row r="83" spans="2:2">
      <c r="B83" s="27"/>
    </row>
    <row r="84" spans="2:2">
      <c r="B84" s="27"/>
    </row>
    <row r="85" spans="2:2">
      <c r="B85" s="27"/>
    </row>
    <row r="86" spans="2:2">
      <c r="B86" s="27"/>
    </row>
    <row r="87" spans="2:2">
      <c r="B87" s="27"/>
    </row>
    <row r="88" spans="2:2">
      <c r="B88" s="27"/>
    </row>
    <row r="89" spans="2:2">
      <c r="B89" s="27"/>
    </row>
    <row r="90" spans="2:2">
      <c r="B90" s="27"/>
    </row>
    <row r="91" spans="2:2">
      <c r="B91" s="27"/>
    </row>
    <row r="92" spans="2:2">
      <c r="B92" s="27"/>
    </row>
    <row r="93" spans="2:2">
      <c r="B93" s="27"/>
    </row>
    <row r="94" spans="2:2">
      <c r="B94" s="27"/>
    </row>
    <row r="95" spans="2:2">
      <c r="B95" s="27"/>
    </row>
    <row r="96" spans="2:2">
      <c r="B96" s="27"/>
    </row>
    <row r="97" spans="2:2">
      <c r="B97" s="27"/>
    </row>
    <row r="98" spans="2:2">
      <c r="B98" s="27"/>
    </row>
    <row r="99" spans="2:2">
      <c r="B99" s="27"/>
    </row>
    <row r="100" spans="2:2">
      <c r="B100" s="27"/>
    </row>
    <row r="101" spans="2:2">
      <c r="B101" s="27"/>
    </row>
    <row r="102" spans="2:2">
      <c r="B102" s="27"/>
    </row>
    <row r="103" spans="2:2">
      <c r="B103" s="27"/>
    </row>
    <row r="104" spans="2:2">
      <c r="B104" s="27"/>
    </row>
    <row r="105" spans="2:2">
      <c r="B105" s="27"/>
    </row>
    <row r="106" spans="2:2">
      <c r="B106" s="27"/>
    </row>
    <row r="107" spans="2:2">
      <c r="B107" s="27"/>
    </row>
    <row r="108" spans="2:2">
      <c r="B108" s="27"/>
    </row>
    <row r="109" spans="2:2">
      <c r="B109" s="27"/>
    </row>
    <row r="110" spans="2:2">
      <c r="B110" s="27"/>
    </row>
    <row r="111" spans="2:2">
      <c r="B111" s="27"/>
    </row>
    <row r="112" spans="2:2">
      <c r="B112" s="27"/>
    </row>
    <row r="113" spans="2:2">
      <c r="B113" s="27"/>
    </row>
    <row r="114" spans="2:2">
      <c r="B114" s="27"/>
    </row>
    <row r="115" spans="2:2">
      <c r="B115" s="27"/>
    </row>
    <row r="116" spans="2:2">
      <c r="B116" s="27"/>
    </row>
    <row r="117" spans="2:2">
      <c r="B117" s="27"/>
    </row>
    <row r="118" spans="2:2">
      <c r="B118" s="27"/>
    </row>
    <row r="119" spans="2:2">
      <c r="B119" s="27"/>
    </row>
    <row r="120" spans="2:2">
      <c r="B120" s="27"/>
    </row>
    <row r="121" spans="2:2">
      <c r="B121" s="27"/>
    </row>
    <row r="122" spans="2:2">
      <c r="B122" s="27"/>
    </row>
    <row r="123" spans="2:2">
      <c r="B123" s="27"/>
    </row>
    <row r="124" spans="2:2">
      <c r="B124" s="27"/>
    </row>
    <row r="125" spans="2:2">
      <c r="B125" s="27"/>
    </row>
    <row r="126" spans="2:2">
      <c r="B126" s="27"/>
    </row>
    <row r="127" spans="2:2">
      <c r="B127" s="27"/>
    </row>
    <row r="128" spans="2:2">
      <c r="B128" s="27"/>
    </row>
    <row r="129" spans="2:2">
      <c r="B129" s="27"/>
    </row>
    <row r="130" spans="2:2">
      <c r="B130" s="27"/>
    </row>
    <row r="131" spans="2:2">
      <c r="B131" s="27"/>
    </row>
    <row r="132" spans="2:2">
      <c r="B132" s="27"/>
    </row>
    <row r="133" spans="2:2">
      <c r="B133" s="27"/>
    </row>
    <row r="134" spans="2:2">
      <c r="B134" s="27"/>
    </row>
    <row r="135" spans="2:2">
      <c r="B135" s="27"/>
    </row>
    <row r="136" spans="2:2">
      <c r="B136" s="27"/>
    </row>
    <row r="137" spans="2:2">
      <c r="B137" s="27"/>
    </row>
    <row r="138" spans="2:2">
      <c r="B138" s="27"/>
    </row>
    <row r="139" spans="2:2">
      <c r="B139" s="27"/>
    </row>
    <row r="140" spans="2:2">
      <c r="B140" s="27"/>
    </row>
    <row r="141" spans="2:2">
      <c r="B141" s="27"/>
    </row>
    <row r="142" spans="2:2">
      <c r="B142" s="27"/>
    </row>
    <row r="143" spans="2:2">
      <c r="B143" s="27"/>
    </row>
    <row r="144" spans="2:2">
      <c r="B144" s="27"/>
    </row>
    <row r="145" spans="2:2">
      <c r="B145" s="27"/>
    </row>
    <row r="146" spans="2:2">
      <c r="B146" s="27"/>
    </row>
    <row r="147" spans="2:2">
      <c r="B147" s="27"/>
    </row>
    <row r="148" spans="2:2">
      <c r="B148" s="27"/>
    </row>
    <row r="149" spans="2:2">
      <c r="B149" s="27"/>
    </row>
    <row r="150" spans="2:2">
      <c r="B150" s="27"/>
    </row>
    <row r="151" spans="2:2">
      <c r="B151" s="27"/>
    </row>
    <row r="152" spans="2:2">
      <c r="B152" s="27"/>
    </row>
    <row r="153" spans="2:2">
      <c r="B153" s="27"/>
    </row>
    <row r="154" spans="2:2">
      <c r="B154" s="27"/>
    </row>
    <row r="155" spans="2:2">
      <c r="B155" s="27"/>
    </row>
    <row r="156" spans="2:2">
      <c r="B156" s="27"/>
    </row>
    <row r="157" spans="2:2">
      <c r="B157" s="27"/>
    </row>
    <row r="158" spans="2:2">
      <c r="B158" s="27"/>
    </row>
    <row r="159" spans="2:2">
      <c r="B159" s="27"/>
    </row>
    <row r="160" spans="2:2">
      <c r="B160" s="27"/>
    </row>
    <row r="161" spans="2:2">
      <c r="B161" s="27"/>
    </row>
    <row r="162" spans="2:2">
      <c r="B162" s="27"/>
    </row>
    <row r="163" spans="2:2">
      <c r="B163" s="27"/>
    </row>
    <row r="164" spans="2:2">
      <c r="B164" s="27"/>
    </row>
    <row r="165" spans="2:2">
      <c r="B165" s="27"/>
    </row>
    <row r="166" spans="2:2">
      <c r="B166" s="27"/>
    </row>
    <row r="167" spans="2:2">
      <c r="B167" s="27"/>
    </row>
    <row r="168" spans="2:2">
      <c r="B168" s="27"/>
    </row>
    <row r="169" spans="2:2">
      <c r="B169" s="27"/>
    </row>
    <row r="170" spans="2:2">
      <c r="B170" s="27"/>
    </row>
    <row r="171" spans="2:2">
      <c r="B171" s="27"/>
    </row>
    <row r="172" spans="2:2">
      <c r="B172" s="27"/>
    </row>
    <row r="173" spans="2:2">
      <c r="B173" s="27"/>
    </row>
    <row r="174" spans="2:2">
      <c r="B174" s="27"/>
    </row>
    <row r="175" spans="2:2">
      <c r="B175" s="27"/>
    </row>
    <row r="176" spans="2:2">
      <c r="B176" s="27"/>
    </row>
    <row r="177" spans="2:2">
      <c r="B177" s="27"/>
    </row>
    <row r="178" spans="2:2">
      <c r="B178" s="27"/>
    </row>
    <row r="179" spans="2:2">
      <c r="B179" s="27"/>
    </row>
    <row r="180" spans="2:2">
      <c r="B180" s="27"/>
    </row>
    <row r="181" spans="2:2">
      <c r="B181" s="27"/>
    </row>
    <row r="182" spans="2:2">
      <c r="B182" s="27"/>
    </row>
    <row r="183" spans="2:2">
      <c r="B183" s="27"/>
    </row>
    <row r="184" spans="2:2">
      <c r="B184" s="27"/>
    </row>
    <row r="185" spans="2:2">
      <c r="B185" s="27"/>
    </row>
    <row r="186" spans="2:2">
      <c r="B186" s="27"/>
    </row>
    <row r="187" spans="2:2">
      <c r="B187" s="27"/>
    </row>
    <row r="188" spans="2:2">
      <c r="B188" s="27"/>
    </row>
    <row r="189" spans="2:2">
      <c r="B189" s="27"/>
    </row>
    <row r="190" spans="2:2">
      <c r="B190" s="27"/>
    </row>
    <row r="191" spans="2:2">
      <c r="B191" s="27"/>
    </row>
    <row r="192" spans="2:2">
      <c r="B192" s="27"/>
    </row>
    <row r="193" spans="2:2">
      <c r="B193" s="27"/>
    </row>
    <row r="194" spans="2:2">
      <c r="B194" s="27"/>
    </row>
    <row r="195" spans="2:2">
      <c r="B195" s="27"/>
    </row>
    <row r="196" spans="2:2">
      <c r="B196" s="27"/>
    </row>
    <row r="197" spans="2:2">
      <c r="B197" s="27"/>
    </row>
    <row r="198" spans="2:2">
      <c r="B198" s="27"/>
    </row>
    <row r="199" spans="2:2">
      <c r="B199" s="27"/>
    </row>
    <row r="200" spans="2:2">
      <c r="B200" s="27"/>
    </row>
    <row r="201" spans="2:2">
      <c r="B201" s="27"/>
    </row>
    <row r="202" spans="2:2">
      <c r="B202" s="27"/>
    </row>
    <row r="203" spans="2:2">
      <c r="B203" s="27"/>
    </row>
    <row r="204" spans="2:2">
      <c r="B204" s="27"/>
    </row>
    <row r="205" spans="2:2">
      <c r="B205" s="27"/>
    </row>
    <row r="206" spans="2:2">
      <c r="B206" s="27"/>
    </row>
    <row r="207" spans="2:2">
      <c r="B207" s="27"/>
    </row>
    <row r="208" spans="2:2">
      <c r="B208" s="27"/>
    </row>
    <row r="209" spans="2:2">
      <c r="B209" s="27"/>
    </row>
    <row r="210" spans="2:2">
      <c r="B210" s="27"/>
    </row>
    <row r="211" spans="2:2">
      <c r="B211" s="27"/>
    </row>
    <row r="212" spans="2:2">
      <c r="B212" s="27"/>
    </row>
    <row r="213" spans="2:2">
      <c r="B213" s="27"/>
    </row>
    <row r="214" spans="2:2">
      <c r="B214" s="27"/>
    </row>
    <row r="215" spans="2:2">
      <c r="B215" s="27"/>
    </row>
    <row r="216" spans="2:2">
      <c r="B216" s="27"/>
    </row>
    <row r="217" spans="2:2">
      <c r="B217" s="27"/>
    </row>
    <row r="218" spans="2:2">
      <c r="B218" s="27"/>
    </row>
    <row r="219" spans="2:2">
      <c r="B219" s="27"/>
    </row>
    <row r="220" spans="2:2">
      <c r="B220" s="27"/>
    </row>
    <row r="221" spans="2:2">
      <c r="B221" s="27"/>
    </row>
    <row r="222" spans="2:2">
      <c r="B222" s="27"/>
    </row>
    <row r="223" spans="2:2">
      <c r="B223" s="27"/>
    </row>
    <row r="224" spans="2:2">
      <c r="B224" s="27"/>
    </row>
    <row r="225" spans="1:2">
      <c r="B225" s="27"/>
    </row>
    <row r="226" spans="1:2">
      <c r="B226" s="27"/>
    </row>
    <row r="227" spans="1:2">
      <c r="B227" s="27"/>
    </row>
    <row r="228" spans="1:2">
      <c r="B228" s="27"/>
    </row>
    <row r="229" spans="1:2">
      <c r="B229" s="27"/>
    </row>
    <row r="230" spans="1:2">
      <c r="B230" s="27"/>
    </row>
    <row r="231" spans="1:2">
      <c r="B231" s="27"/>
    </row>
    <row r="232" spans="1:2">
      <c r="B232" s="27"/>
    </row>
    <row r="233" spans="1:2">
      <c r="B233" s="27"/>
    </row>
    <row r="234" spans="1:2">
      <c r="B234" s="27"/>
    </row>
    <row r="235" spans="1:2">
      <c r="B235" s="27"/>
    </row>
    <row r="236" spans="1:2">
      <c r="B236" s="27"/>
    </row>
    <row r="237" spans="1:2">
      <c r="A237">
        <v>227</v>
      </c>
    </row>
    <row r="238" spans="1:2">
      <c r="A238">
        <v>228</v>
      </c>
    </row>
    <row r="239" spans="1:2">
      <c r="A239">
        <v>229</v>
      </c>
    </row>
    <row r="240" spans="1:2">
      <c r="A240">
        <v>230</v>
      </c>
    </row>
    <row r="241" spans="1:1">
      <c r="A241">
        <v>231</v>
      </c>
    </row>
    <row r="242" spans="1:1">
      <c r="A242">
        <v>232</v>
      </c>
    </row>
    <row r="243" spans="1:1">
      <c r="A243">
        <v>233</v>
      </c>
    </row>
    <row r="244" spans="1:1">
      <c r="A244">
        <v>234</v>
      </c>
    </row>
    <row r="245" spans="1:1">
      <c r="A245">
        <v>235</v>
      </c>
    </row>
    <row r="246" spans="1:1">
      <c r="A246">
        <v>236</v>
      </c>
    </row>
    <row r="247" spans="1:1">
      <c r="A247">
        <v>237</v>
      </c>
    </row>
    <row r="248" spans="1:1">
      <c r="A248">
        <v>238</v>
      </c>
    </row>
    <row r="249" spans="1:1">
      <c r="A249">
        <v>239</v>
      </c>
    </row>
    <row r="250" spans="1:1">
      <c r="A250">
        <v>240</v>
      </c>
    </row>
    <row r="251" spans="1:1">
      <c r="A251">
        <v>241</v>
      </c>
    </row>
    <row r="252" spans="1:1">
      <c r="A252">
        <v>242</v>
      </c>
    </row>
    <row r="253" spans="1:1">
      <c r="A253">
        <v>243</v>
      </c>
    </row>
    <row r="254" spans="1:1">
      <c r="A254">
        <v>244</v>
      </c>
    </row>
    <row r="255" spans="1:1">
      <c r="A255">
        <v>245</v>
      </c>
    </row>
    <row r="256" spans="1:1">
      <c r="A256">
        <v>246</v>
      </c>
    </row>
    <row r="257" spans="1:1">
      <c r="A257">
        <v>247</v>
      </c>
    </row>
    <row r="258" spans="1:1">
      <c r="A258">
        <v>248</v>
      </c>
    </row>
    <row r="259" spans="1:1">
      <c r="A259">
        <v>249</v>
      </c>
    </row>
    <row r="260" spans="1:1">
      <c r="A260">
        <v>250</v>
      </c>
    </row>
    <row r="261" spans="1:1">
      <c r="A261">
        <v>251</v>
      </c>
    </row>
    <row r="262" spans="1:1">
      <c r="A262">
        <v>252</v>
      </c>
    </row>
    <row r="263" spans="1:1">
      <c r="A263">
        <v>253</v>
      </c>
    </row>
    <row r="264" spans="1:1">
      <c r="A264">
        <v>254</v>
      </c>
    </row>
    <row r="265" spans="1:1">
      <c r="A265">
        <v>255</v>
      </c>
    </row>
    <row r="266" spans="1:1">
      <c r="A266">
        <v>256</v>
      </c>
    </row>
    <row r="267" spans="1:1">
      <c r="A267">
        <v>257</v>
      </c>
    </row>
    <row r="268" spans="1:1">
      <c r="A268">
        <v>258</v>
      </c>
    </row>
    <row r="269" spans="1:1">
      <c r="A269">
        <v>259</v>
      </c>
    </row>
    <row r="270" spans="1:1">
      <c r="A270">
        <v>260</v>
      </c>
    </row>
    <row r="271" spans="1:1">
      <c r="A271">
        <v>261</v>
      </c>
    </row>
    <row r="272" spans="1:1">
      <c r="A272">
        <v>262</v>
      </c>
    </row>
    <row r="273" spans="1:1">
      <c r="A273">
        <v>263</v>
      </c>
    </row>
    <row r="274" spans="1:1">
      <c r="A274">
        <v>264</v>
      </c>
    </row>
    <row r="275" spans="1:1">
      <c r="A275">
        <v>265</v>
      </c>
    </row>
    <row r="276" spans="1:1">
      <c r="A276">
        <v>266</v>
      </c>
    </row>
    <row r="277" spans="1:1">
      <c r="A277">
        <v>267</v>
      </c>
    </row>
    <row r="278" spans="1:1">
      <c r="A278">
        <v>268</v>
      </c>
    </row>
    <row r="279" spans="1:1">
      <c r="A279">
        <v>269</v>
      </c>
    </row>
    <row r="280" spans="1:1">
      <c r="A280">
        <v>270</v>
      </c>
    </row>
    <row r="281" spans="1:1">
      <c r="A281">
        <v>271</v>
      </c>
    </row>
    <row r="282" spans="1:1">
      <c r="A282">
        <v>272</v>
      </c>
    </row>
    <row r="283" spans="1:1">
      <c r="A283">
        <v>273</v>
      </c>
    </row>
    <row r="284" spans="1:1">
      <c r="A284">
        <v>274</v>
      </c>
    </row>
    <row r="285" spans="1:1">
      <c r="A285">
        <v>275</v>
      </c>
    </row>
    <row r="286" spans="1:1">
      <c r="A286">
        <v>276</v>
      </c>
    </row>
    <row r="287" spans="1:1">
      <c r="A287">
        <v>277</v>
      </c>
    </row>
    <row r="288" spans="1:1">
      <c r="A288">
        <v>278</v>
      </c>
    </row>
    <row r="289" spans="1:1">
      <c r="A289">
        <v>279</v>
      </c>
    </row>
    <row r="290" spans="1:1">
      <c r="A290">
        <v>280</v>
      </c>
    </row>
    <row r="291" spans="1:1">
      <c r="A291">
        <v>281</v>
      </c>
    </row>
    <row r="292" spans="1:1">
      <c r="A292">
        <v>282</v>
      </c>
    </row>
    <row r="293" spans="1:1">
      <c r="A293">
        <v>283</v>
      </c>
    </row>
    <row r="294" spans="1:1">
      <c r="A294">
        <v>284</v>
      </c>
    </row>
    <row r="295" spans="1:1">
      <c r="A295">
        <v>285</v>
      </c>
    </row>
    <row r="296" spans="1:1">
      <c r="A296">
        <v>286</v>
      </c>
    </row>
    <row r="297" spans="1:1">
      <c r="A297">
        <v>287</v>
      </c>
    </row>
    <row r="298" spans="1:1">
      <c r="A298">
        <v>288</v>
      </c>
    </row>
    <row r="299" spans="1:1">
      <c r="A299">
        <v>289</v>
      </c>
    </row>
    <row r="300" spans="1:1">
      <c r="A300">
        <v>290</v>
      </c>
    </row>
    <row r="301" spans="1:1">
      <c r="A301">
        <v>291</v>
      </c>
    </row>
    <row r="302" spans="1:1">
      <c r="A302">
        <v>292</v>
      </c>
    </row>
    <row r="303" spans="1:1">
      <c r="A303">
        <v>293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C99"/>
  <sheetViews>
    <sheetView zoomScale="190" zoomScaleNormal="190" workbookViewId="0">
      <selection activeCell="B8" sqref="B8"/>
    </sheetView>
  </sheetViews>
  <sheetFormatPr defaultRowHeight="12.75"/>
  <cols>
    <col min="1" max="1" width="23.1640625" customWidth="1"/>
    <col min="2" max="2" width="14.1640625" customWidth="1"/>
    <col min="3" max="3" width="21.33203125" customWidth="1"/>
  </cols>
  <sheetData>
    <row r="1" spans="1:3" ht="15">
      <c r="A1" s="42" t="s">
        <v>131</v>
      </c>
      <c r="B1">
        <v>25</v>
      </c>
    </row>
    <row r="2" spans="1:3" ht="15">
      <c r="A2" s="42" t="s">
        <v>132</v>
      </c>
      <c r="B2">
        <v>65</v>
      </c>
    </row>
    <row r="3" spans="1:3" ht="15">
      <c r="A3" s="51" t="s">
        <v>133</v>
      </c>
      <c r="B3">
        <f>(B2-B1)*12</f>
        <v>480</v>
      </c>
      <c r="C3" s="49" t="s">
        <v>137</v>
      </c>
    </row>
    <row r="4" spans="1:3" ht="15">
      <c r="A4" s="51" t="s">
        <v>134</v>
      </c>
      <c r="B4">
        <v>125</v>
      </c>
    </row>
    <row r="5" spans="1:3" ht="15">
      <c r="A5" s="51" t="s">
        <v>119</v>
      </c>
      <c r="B5" s="19">
        <v>0.06</v>
      </c>
    </row>
    <row r="6" spans="1:3" ht="15">
      <c r="A6" s="51" t="s">
        <v>136</v>
      </c>
      <c r="B6" s="27">
        <v>542</v>
      </c>
    </row>
    <row r="8" spans="1:3" ht="15">
      <c r="A8" s="44" t="s">
        <v>135</v>
      </c>
      <c r="B8" s="45">
        <f>FV(B5/12,B3,-B4,-B6)</f>
        <v>254875.28168140849</v>
      </c>
      <c r="C8" s="49" t="s">
        <v>138</v>
      </c>
    </row>
    <row r="9" spans="1:3">
      <c r="A9" s="14"/>
      <c r="B9" s="3"/>
      <c r="C9" s="3"/>
    </row>
    <row r="10" spans="1:3">
      <c r="A10" s="3"/>
      <c r="B10" s="3"/>
      <c r="C10" s="3"/>
    </row>
    <row r="11" spans="1:3">
      <c r="A11" s="3"/>
      <c r="B11" s="3"/>
      <c r="C11" s="3"/>
    </row>
    <row r="12" spans="1:3">
      <c r="A12" s="3"/>
      <c r="B12" s="3"/>
      <c r="C12" s="3"/>
    </row>
    <row r="13" spans="1:3">
      <c r="A13" s="3"/>
      <c r="B13" s="3"/>
      <c r="C13" s="3"/>
    </row>
    <row r="14" spans="1:3">
      <c r="A14" s="9"/>
      <c r="B14" s="9"/>
      <c r="C14" s="3"/>
    </row>
    <row r="15" spans="1:3">
      <c r="A15" s="15"/>
      <c r="B15" s="3"/>
      <c r="C15" s="3"/>
    </row>
    <row r="16" spans="1:3">
      <c r="A16" s="3"/>
      <c r="B16" s="3"/>
      <c r="C16" s="3"/>
    </row>
    <row r="17" spans="1:3">
      <c r="A17" s="16"/>
      <c r="B17" s="3"/>
      <c r="C17" s="3"/>
    </row>
    <row r="18" spans="1:3">
      <c r="A18" s="3"/>
      <c r="B18" s="3"/>
      <c r="C18" s="3"/>
    </row>
    <row r="19" spans="1:3">
      <c r="A19" s="16"/>
      <c r="B19" s="3"/>
      <c r="C19" s="3"/>
    </row>
    <row r="20" spans="1:3">
      <c r="A20" s="3"/>
      <c r="B20" s="3"/>
      <c r="C20" s="3"/>
    </row>
    <row r="21" spans="1:3">
      <c r="A21" s="3"/>
      <c r="B21" s="3"/>
      <c r="C21" s="3"/>
    </row>
    <row r="22" spans="1:3">
      <c r="A22" s="3"/>
      <c r="B22" s="3"/>
      <c r="C22" s="3"/>
    </row>
    <row r="23" spans="1:3">
      <c r="A23" s="17"/>
      <c r="B23" s="3"/>
      <c r="C23" s="3"/>
    </row>
    <row r="24" spans="1:3">
      <c r="A24" s="18"/>
      <c r="B24" s="3"/>
      <c r="C24" s="3"/>
    </row>
    <row r="25" spans="1:3">
      <c r="A25" s="18"/>
      <c r="B25" s="3"/>
      <c r="C25" s="3"/>
    </row>
    <row r="26" spans="1:3">
      <c r="A26" s="18"/>
      <c r="B26" s="3"/>
      <c r="C26" s="3"/>
    </row>
    <row r="27" spans="1:3">
      <c r="A27" s="18"/>
      <c r="B27" s="3"/>
      <c r="C27" s="3"/>
    </row>
    <row r="28" spans="1:3">
      <c r="A28" s="18"/>
      <c r="B28" s="3"/>
      <c r="C28" s="3"/>
    </row>
    <row r="29" spans="1:3">
      <c r="A29" s="18"/>
      <c r="B29" s="3"/>
      <c r="C29" s="3"/>
    </row>
    <row r="30" spans="1:3">
      <c r="A30" s="18"/>
      <c r="B30" s="3"/>
      <c r="C30" s="3"/>
    </row>
    <row r="31" spans="1:3">
      <c r="A31" s="18"/>
      <c r="B31" s="3"/>
      <c r="C31" s="3"/>
    </row>
    <row r="32" spans="1:3">
      <c r="A32" s="18"/>
      <c r="B32" s="3"/>
      <c r="C32" s="3"/>
    </row>
    <row r="33" spans="1:3">
      <c r="A33" s="18"/>
      <c r="B33" s="3"/>
      <c r="C33" s="3"/>
    </row>
    <row r="34" spans="1:3">
      <c r="A34" s="18"/>
      <c r="B34" s="3"/>
      <c r="C34" s="3"/>
    </row>
    <row r="35" spans="1:3">
      <c r="A35" s="3"/>
      <c r="B35" s="3"/>
      <c r="C35" s="3"/>
    </row>
    <row r="36" spans="1:3">
      <c r="A36" s="3"/>
      <c r="B36" s="9"/>
      <c r="C36" s="9"/>
    </row>
    <row r="37" spans="1:3">
      <c r="A37" s="9"/>
      <c r="B37" s="9"/>
      <c r="C37" s="9"/>
    </row>
    <row r="38" spans="1:3">
      <c r="A38" s="9"/>
      <c r="B38" s="14"/>
      <c r="C38" s="3"/>
    </row>
    <row r="39" spans="1:3">
      <c r="A39" s="9"/>
      <c r="B39" s="3"/>
      <c r="C39" s="3"/>
    </row>
    <row r="40" spans="1:3">
      <c r="A40" s="9"/>
      <c r="B40" s="3"/>
      <c r="C40" s="3"/>
    </row>
    <row r="41" spans="1:3">
      <c r="A41" s="3"/>
      <c r="B41" s="9"/>
      <c r="C41" s="9"/>
    </row>
    <row r="42" spans="1:3">
      <c r="A42" s="3"/>
      <c r="B42" s="15"/>
      <c r="C42" s="3"/>
    </row>
    <row r="43" spans="1:3">
      <c r="A43" s="3"/>
      <c r="B43" s="3"/>
      <c r="C43" s="3"/>
    </row>
    <row r="44" spans="1:3">
      <c r="A44" s="16"/>
      <c r="B44" s="3"/>
      <c r="C44" s="3"/>
    </row>
    <row r="45" spans="1:3">
      <c r="A45" s="3"/>
      <c r="B45" s="3"/>
      <c r="C45" s="3"/>
    </row>
    <row r="46" spans="1:3">
      <c r="A46" s="16"/>
      <c r="B46" s="3"/>
      <c r="C46" s="3"/>
    </row>
    <row r="47" spans="1:3">
      <c r="A47" s="3"/>
      <c r="B47" s="3"/>
      <c r="C47" s="3"/>
    </row>
    <row r="48" spans="1:3">
      <c r="A48" s="3"/>
      <c r="B48" s="3"/>
      <c r="C48" s="3"/>
    </row>
    <row r="49" spans="1:3">
      <c r="A49" s="3"/>
      <c r="B49" s="3"/>
      <c r="C49" s="3"/>
    </row>
    <row r="50" spans="1:3">
      <c r="A50" s="17"/>
      <c r="B50" s="3"/>
      <c r="C50" s="3"/>
    </row>
    <row r="51" spans="1:3">
      <c r="A51" s="18"/>
      <c r="B51" s="3"/>
      <c r="C51" s="3"/>
    </row>
    <row r="52" spans="1:3">
      <c r="A52" s="18"/>
      <c r="B52" s="3"/>
      <c r="C52" s="3"/>
    </row>
    <row r="53" spans="1:3">
      <c r="A53" s="18"/>
      <c r="B53" s="3"/>
      <c r="C53" s="3"/>
    </row>
    <row r="54" spans="1:3">
      <c r="A54" s="18"/>
      <c r="B54" s="3"/>
      <c r="C54" s="3"/>
    </row>
    <row r="55" spans="1:3">
      <c r="A55" s="18"/>
      <c r="B55" s="3"/>
      <c r="C55" s="3"/>
    </row>
    <row r="56" spans="1:3">
      <c r="A56" s="18"/>
      <c r="B56" s="3"/>
      <c r="C56" s="3"/>
    </row>
    <row r="57" spans="1:3">
      <c r="A57" s="18"/>
      <c r="B57" s="3"/>
      <c r="C57" s="3"/>
    </row>
    <row r="58" spans="1:3">
      <c r="A58" s="18"/>
      <c r="B58" s="3"/>
      <c r="C58" s="3"/>
    </row>
    <row r="59" spans="1:3">
      <c r="A59" s="18"/>
      <c r="B59" s="3"/>
      <c r="C59" s="3"/>
    </row>
    <row r="60" spans="1:3">
      <c r="A60" s="18"/>
      <c r="B60" s="3"/>
      <c r="C60" s="3"/>
    </row>
    <row r="61" spans="1:3">
      <c r="A61" s="18"/>
      <c r="B61" s="3"/>
      <c r="C61" s="3"/>
    </row>
    <row r="62" spans="1:3">
      <c r="A62" s="3"/>
      <c r="B62" s="3"/>
      <c r="C62" s="3"/>
    </row>
    <row r="63" spans="1:3">
      <c r="A63" s="3"/>
      <c r="B63" s="9"/>
      <c r="C63" s="9"/>
    </row>
    <row r="64" spans="1:3">
      <c r="A64" s="9"/>
      <c r="B64" s="9"/>
      <c r="C64" s="9"/>
    </row>
    <row r="65" spans="1:3">
      <c r="A65" s="9"/>
      <c r="B65" s="14"/>
      <c r="C65" s="3"/>
    </row>
    <row r="66" spans="1:3">
      <c r="A66" s="9"/>
      <c r="B66" s="3"/>
      <c r="C66" s="3"/>
    </row>
    <row r="67" spans="1:3">
      <c r="A67" s="9"/>
      <c r="B67" s="3"/>
      <c r="C67" s="3"/>
    </row>
    <row r="68" spans="1:3">
      <c r="A68" s="9"/>
      <c r="B68" s="3"/>
      <c r="C68" s="3"/>
    </row>
    <row r="69" spans="1:3">
      <c r="A69" s="3"/>
      <c r="B69" s="9"/>
      <c r="C69" s="9"/>
    </row>
    <row r="70" spans="1:3">
      <c r="A70" s="3"/>
      <c r="B70" s="15"/>
      <c r="C70" s="3"/>
    </row>
    <row r="71" spans="1:3">
      <c r="A71" s="3"/>
      <c r="B71" s="3"/>
      <c r="C71" s="3"/>
    </row>
    <row r="72" spans="1:3">
      <c r="A72" s="16"/>
      <c r="B72" s="3"/>
      <c r="C72" s="3"/>
    </row>
    <row r="73" spans="1:3">
      <c r="A73" s="3"/>
      <c r="B73" s="3"/>
      <c r="C73" s="3"/>
    </row>
    <row r="74" spans="1:3">
      <c r="A74" s="16"/>
      <c r="B74" s="3"/>
      <c r="C74" s="3"/>
    </row>
    <row r="75" spans="1:3">
      <c r="A75" s="3"/>
      <c r="B75" s="3"/>
      <c r="C75" s="3"/>
    </row>
    <row r="76" spans="1:3">
      <c r="A76" s="3"/>
      <c r="B76" s="3"/>
      <c r="C76" s="3"/>
    </row>
    <row r="77" spans="1:3">
      <c r="A77" s="3"/>
      <c r="B77" s="3"/>
      <c r="C77" s="3"/>
    </row>
    <row r="78" spans="1:3">
      <c r="A78" s="17"/>
      <c r="B78" s="3"/>
      <c r="C78" s="3"/>
    </row>
    <row r="79" spans="1:3">
      <c r="A79" s="18"/>
      <c r="B79" s="3"/>
      <c r="C79" s="3"/>
    </row>
    <row r="80" spans="1:3">
      <c r="A80" s="18"/>
      <c r="B80" s="3"/>
      <c r="C80" s="3"/>
    </row>
    <row r="81" spans="1:3">
      <c r="A81" s="18"/>
      <c r="B81" s="3"/>
      <c r="C81" s="3"/>
    </row>
    <row r="82" spans="1:3">
      <c r="A82" s="18"/>
      <c r="B82" s="3"/>
      <c r="C82" s="3"/>
    </row>
    <row r="83" spans="1:3">
      <c r="A83" s="18"/>
      <c r="B83" s="3"/>
      <c r="C83" s="3"/>
    </row>
    <row r="84" spans="1:3">
      <c r="A84" s="18"/>
      <c r="B84" s="3"/>
      <c r="C84" s="3"/>
    </row>
    <row r="85" spans="1:3">
      <c r="A85" s="18"/>
      <c r="B85" s="3"/>
      <c r="C85" s="3"/>
    </row>
    <row r="86" spans="1:3">
      <c r="A86" s="18"/>
      <c r="B86" s="3"/>
      <c r="C86" s="3"/>
    </row>
    <row r="87" spans="1:3">
      <c r="A87" s="18"/>
      <c r="B87" s="3"/>
      <c r="C87" s="3"/>
    </row>
    <row r="88" spans="1:3">
      <c r="A88" s="18"/>
      <c r="B88" s="3"/>
      <c r="C88" s="3"/>
    </row>
    <row r="89" spans="1:3">
      <c r="A89" s="18"/>
      <c r="B89" s="3"/>
      <c r="C89" s="3"/>
    </row>
    <row r="90" spans="1:3">
      <c r="A90" s="3"/>
      <c r="B90" s="3"/>
      <c r="C90" s="3"/>
    </row>
    <row r="91" spans="1:3">
      <c r="A91" s="3"/>
      <c r="B91" s="9" t="s">
        <v>74</v>
      </c>
      <c r="C91" s="9"/>
    </row>
    <row r="92" spans="1:3">
      <c r="A92" s="9"/>
      <c r="B92" s="9" t="s">
        <v>54</v>
      </c>
      <c r="C92" s="9"/>
    </row>
    <row r="93" spans="1:3">
      <c r="A93" s="9"/>
      <c r="B93" s="14">
        <v>0.06</v>
      </c>
      <c r="C93" s="3"/>
    </row>
    <row r="94" spans="1:3">
      <c r="A94" s="9"/>
      <c r="B94" s="3">
        <v>12</v>
      </c>
      <c r="C94" s="3"/>
    </row>
    <row r="95" spans="1:3">
      <c r="A95" s="9"/>
      <c r="B95" s="3">
        <v>-100</v>
      </c>
      <c r="C95" s="3"/>
    </row>
    <row r="96" spans="1:3">
      <c r="A96" s="9"/>
      <c r="B96" s="3">
        <v>-1000</v>
      </c>
      <c r="C96" s="3"/>
    </row>
    <row r="97" spans="1:3">
      <c r="A97" s="9"/>
      <c r="B97" s="3">
        <v>1</v>
      </c>
      <c r="C97" s="3"/>
    </row>
    <row r="98" spans="1:3">
      <c r="A98" s="3"/>
      <c r="B98" s="9" t="s">
        <v>63</v>
      </c>
      <c r="C98" s="9"/>
    </row>
    <row r="99" spans="1:3">
      <c r="A99" s="3"/>
      <c r="B99" s="15" t="e">
        <f xml:space="preserve"> FV(#REF!/12,#REF!,#REF!,#REF!,#REF!)</f>
        <v>#REF!</v>
      </c>
      <c r="C99" s="3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56"/>
  <sheetViews>
    <sheetView zoomScale="190" zoomScaleNormal="190" workbookViewId="0">
      <selection activeCell="B9" sqref="B9"/>
    </sheetView>
  </sheetViews>
  <sheetFormatPr defaultRowHeight="12.75"/>
  <cols>
    <col min="1" max="1" width="10.83203125" customWidth="1"/>
    <col min="2" max="2" width="10.1640625" bestFit="1" customWidth="1"/>
    <col min="3" max="3" width="9.33203125" customWidth="1"/>
  </cols>
  <sheetData>
    <row r="1" spans="1:3" ht="15">
      <c r="A1" s="42" t="s">
        <v>129</v>
      </c>
      <c r="B1">
        <v>-22000</v>
      </c>
    </row>
    <row r="2" spans="1:3" ht="15">
      <c r="A2" s="42" t="s">
        <v>99</v>
      </c>
      <c r="B2" s="19">
        <v>0.05</v>
      </c>
    </row>
    <row r="3" spans="1:3" ht="15">
      <c r="A3" s="42" t="s">
        <v>100</v>
      </c>
      <c r="B3">
        <v>48</v>
      </c>
    </row>
    <row r="4" spans="1:3" ht="15">
      <c r="A4" s="42" t="s">
        <v>34</v>
      </c>
      <c r="B4">
        <f>PMT(B2/12,B3,B1)</f>
        <v>506.64445855422338</v>
      </c>
    </row>
    <row r="5" spans="1:3" ht="15">
      <c r="A5" s="53" t="s">
        <v>268</v>
      </c>
      <c r="B5" s="49" t="s">
        <v>269</v>
      </c>
    </row>
    <row r="6" spans="1:3" ht="15">
      <c r="A6" s="53" t="s">
        <v>139</v>
      </c>
      <c r="B6" s="49" t="s">
        <v>130</v>
      </c>
    </row>
    <row r="7" spans="1:3" ht="15">
      <c r="A7" s="53" t="s">
        <v>140</v>
      </c>
      <c r="B7" s="49" t="s">
        <v>141</v>
      </c>
    </row>
    <row r="8" spans="1:3" ht="15">
      <c r="A8" s="52" t="s">
        <v>124</v>
      </c>
      <c r="B8" s="53" t="s">
        <v>127</v>
      </c>
      <c r="C8" s="53" t="s">
        <v>128</v>
      </c>
    </row>
    <row r="9" spans="1:3">
      <c r="A9" s="28">
        <f>ROW(1:1)</f>
        <v>1</v>
      </c>
      <c r="B9" s="24">
        <f>PPMT($B$2/12,A9,$B$3,$B$1)</f>
        <v>414.97779188755675</v>
      </c>
      <c r="C9" s="20">
        <f t="shared" ref="C9:C56" si="0">IPMT($B$2/12,A9,$B$3,$B$1)</f>
        <v>91.666666666666671</v>
      </c>
    </row>
    <row r="10" spans="1:3">
      <c r="A10" s="41">
        <f t="shared" ref="A10:A56" si="1">ROW(2:2)</f>
        <v>2</v>
      </c>
      <c r="B10" s="20">
        <f t="shared" ref="B10:B56" si="2">PPMT($B$2/12,A10,$B$3,$B$1)</f>
        <v>416.7068660204215</v>
      </c>
      <c r="C10" s="20">
        <f t="shared" si="0"/>
        <v>89.937592533801848</v>
      </c>
    </row>
    <row r="11" spans="1:3">
      <c r="A11" s="41">
        <f t="shared" si="1"/>
        <v>3</v>
      </c>
      <c r="B11" s="20">
        <f t="shared" si="2"/>
        <v>418.44314462884</v>
      </c>
      <c r="C11" s="20">
        <f t="shared" si="0"/>
        <v>88.201313925383431</v>
      </c>
    </row>
    <row r="12" spans="1:3">
      <c r="A12" s="41">
        <f t="shared" si="1"/>
        <v>4</v>
      </c>
      <c r="B12" s="20">
        <f t="shared" si="2"/>
        <v>420.18665773146012</v>
      </c>
      <c r="C12" s="20">
        <f t="shared" si="0"/>
        <v>86.457800822763247</v>
      </c>
    </row>
    <row r="13" spans="1:3">
      <c r="A13" s="41">
        <f t="shared" si="1"/>
        <v>5</v>
      </c>
      <c r="B13" s="20">
        <f t="shared" si="2"/>
        <v>421.93743547200785</v>
      </c>
      <c r="C13" s="20">
        <f t="shared" si="0"/>
        <v>84.707023082215514</v>
      </c>
    </row>
    <row r="14" spans="1:3">
      <c r="A14" s="41">
        <f t="shared" si="1"/>
        <v>6</v>
      </c>
      <c r="B14" s="20">
        <f t="shared" si="2"/>
        <v>423.69550811980793</v>
      </c>
      <c r="C14" s="20">
        <f t="shared" si="0"/>
        <v>82.948950434415494</v>
      </c>
    </row>
    <row r="15" spans="1:3">
      <c r="A15" s="41">
        <f t="shared" si="1"/>
        <v>7</v>
      </c>
      <c r="B15" s="20">
        <f t="shared" si="2"/>
        <v>425.46090607030709</v>
      </c>
      <c r="C15" s="20">
        <f t="shared" si="0"/>
        <v>81.183552483916273</v>
      </c>
    </row>
    <row r="16" spans="1:3">
      <c r="A16" s="41">
        <f t="shared" si="1"/>
        <v>8</v>
      </c>
      <c r="B16" s="20">
        <f t="shared" si="2"/>
        <v>427.23365984560002</v>
      </c>
      <c r="C16" s="20">
        <f t="shared" si="0"/>
        <v>79.410798708623346</v>
      </c>
    </row>
    <row r="17" spans="1:3">
      <c r="A17" s="41">
        <f t="shared" si="1"/>
        <v>9</v>
      </c>
      <c r="B17" s="20">
        <f t="shared" si="2"/>
        <v>429.01380009495671</v>
      </c>
      <c r="C17" s="20">
        <f t="shared" si="0"/>
        <v>77.63065845926667</v>
      </c>
    </row>
    <row r="18" spans="1:3">
      <c r="A18" s="41">
        <f t="shared" si="1"/>
        <v>10</v>
      </c>
      <c r="B18" s="20">
        <f t="shared" si="2"/>
        <v>430.80135759535233</v>
      </c>
      <c r="C18" s="20">
        <f t="shared" si="0"/>
        <v>75.84310095887102</v>
      </c>
    </row>
    <row r="19" spans="1:3">
      <c r="A19" s="41">
        <f t="shared" si="1"/>
        <v>11</v>
      </c>
      <c r="B19" s="20">
        <f t="shared" si="2"/>
        <v>432.59636325199966</v>
      </c>
      <c r="C19" s="20">
        <f t="shared" si="0"/>
        <v>74.048095302223714</v>
      </c>
    </row>
    <row r="20" spans="1:3">
      <c r="A20" s="41">
        <f t="shared" si="1"/>
        <v>12</v>
      </c>
      <c r="B20" s="20">
        <f t="shared" si="2"/>
        <v>434.39884809888298</v>
      </c>
      <c r="C20" s="20">
        <f t="shared" si="0"/>
        <v>72.245610455340383</v>
      </c>
    </row>
    <row r="21" spans="1:3">
      <c r="A21" s="41">
        <f t="shared" si="1"/>
        <v>13</v>
      </c>
      <c r="B21" s="20">
        <f t="shared" si="2"/>
        <v>436.20884329929504</v>
      </c>
      <c r="C21" s="20">
        <f t="shared" si="0"/>
        <v>70.435615254928365</v>
      </c>
    </row>
    <row r="22" spans="1:3">
      <c r="A22" s="41">
        <f t="shared" si="1"/>
        <v>14</v>
      </c>
      <c r="B22" s="20">
        <f t="shared" si="2"/>
        <v>438.0263801463754</v>
      </c>
      <c r="C22" s="20">
        <f t="shared" si="0"/>
        <v>68.618078407847975</v>
      </c>
    </row>
    <row r="23" spans="1:3">
      <c r="A23" s="41">
        <f t="shared" si="1"/>
        <v>15</v>
      </c>
      <c r="B23" s="20">
        <f t="shared" si="2"/>
        <v>439.85149006365197</v>
      </c>
      <c r="C23" s="20">
        <f t="shared" si="0"/>
        <v>66.792968490571411</v>
      </c>
    </row>
    <row r="24" spans="1:3">
      <c r="A24" s="41">
        <f t="shared" si="1"/>
        <v>16</v>
      </c>
      <c r="B24" s="20">
        <f t="shared" si="2"/>
        <v>441.68420460558383</v>
      </c>
      <c r="C24" s="20">
        <f t="shared" si="0"/>
        <v>64.960253948639519</v>
      </c>
    </row>
    <row r="25" spans="1:3">
      <c r="A25" s="41">
        <f t="shared" si="1"/>
        <v>17</v>
      </c>
      <c r="B25" s="20">
        <f t="shared" si="2"/>
        <v>443.52455545810716</v>
      </c>
      <c r="C25" s="20">
        <f t="shared" si="0"/>
        <v>63.119903096116261</v>
      </c>
    </row>
    <row r="26" spans="1:3">
      <c r="A26" s="41">
        <f t="shared" si="1"/>
        <v>18</v>
      </c>
      <c r="B26" s="20">
        <f t="shared" si="2"/>
        <v>445.37257443918253</v>
      </c>
      <c r="C26" s="20">
        <f t="shared" si="0"/>
        <v>61.271884115040827</v>
      </c>
    </row>
    <row r="27" spans="1:3">
      <c r="A27" s="41">
        <f t="shared" si="1"/>
        <v>19</v>
      </c>
      <c r="B27" s="20">
        <f t="shared" si="2"/>
        <v>447.2282934993458</v>
      </c>
      <c r="C27" s="20">
        <f t="shared" si="0"/>
        <v>59.41616505487756</v>
      </c>
    </row>
    <row r="28" spans="1:3">
      <c r="A28" s="41">
        <f t="shared" si="1"/>
        <v>20</v>
      </c>
      <c r="B28" s="20">
        <f t="shared" si="2"/>
        <v>449.09174472225982</v>
      </c>
      <c r="C28" s="20">
        <f t="shared" si="0"/>
        <v>57.552713831963622</v>
      </c>
    </row>
    <row r="29" spans="1:3">
      <c r="A29" s="41">
        <f t="shared" si="1"/>
        <v>21</v>
      </c>
      <c r="B29" s="20">
        <f t="shared" si="2"/>
        <v>450.96296032526914</v>
      </c>
      <c r="C29" s="20">
        <f t="shared" si="0"/>
        <v>55.681498228954204</v>
      </c>
    </row>
    <row r="30" spans="1:3">
      <c r="A30" s="41">
        <f t="shared" si="1"/>
        <v>22</v>
      </c>
      <c r="B30" s="20">
        <f t="shared" si="2"/>
        <v>452.84197265995783</v>
      </c>
      <c r="C30" s="20">
        <f t="shared" si="0"/>
        <v>53.802485894265587</v>
      </c>
    </row>
    <row r="31" spans="1:3">
      <c r="A31" s="41">
        <f t="shared" si="1"/>
        <v>23</v>
      </c>
      <c r="B31" s="20">
        <f t="shared" si="2"/>
        <v>454.72881421270762</v>
      </c>
      <c r="C31" s="20">
        <f t="shared" si="0"/>
        <v>51.915644341515751</v>
      </c>
    </row>
    <row r="32" spans="1:3">
      <c r="A32" s="41">
        <f t="shared" si="1"/>
        <v>24</v>
      </c>
      <c r="B32" s="20">
        <f t="shared" si="2"/>
        <v>456.62351760526059</v>
      </c>
      <c r="C32" s="20">
        <f t="shared" si="0"/>
        <v>50.020940948962817</v>
      </c>
    </row>
    <row r="33" spans="1:3">
      <c r="A33" s="41">
        <f t="shared" si="1"/>
        <v>25</v>
      </c>
      <c r="B33" s="20">
        <f t="shared" si="2"/>
        <v>458.52611559528253</v>
      </c>
      <c r="C33" s="20">
        <f t="shared" si="0"/>
        <v>48.118342958940893</v>
      </c>
    </row>
    <row r="34" spans="1:3">
      <c r="A34" s="41">
        <f t="shared" si="1"/>
        <v>26</v>
      </c>
      <c r="B34" s="20">
        <f t="shared" si="2"/>
        <v>460.43664107692945</v>
      </c>
      <c r="C34" s="20">
        <f t="shared" si="0"/>
        <v>46.207817477293872</v>
      </c>
    </row>
    <row r="35" spans="1:3">
      <c r="A35" s="41">
        <f t="shared" si="1"/>
        <v>27</v>
      </c>
      <c r="B35" s="20">
        <f t="shared" si="2"/>
        <v>462.35512708141675</v>
      </c>
      <c r="C35" s="20">
        <f t="shared" si="0"/>
        <v>44.289331472806673</v>
      </c>
    </row>
    <row r="36" spans="1:3">
      <c r="A36" s="41">
        <f t="shared" si="1"/>
        <v>28</v>
      </c>
      <c r="B36" s="20">
        <f t="shared" si="2"/>
        <v>464.28160677758927</v>
      </c>
      <c r="C36" s="20">
        <f t="shared" si="0"/>
        <v>42.362851776634109</v>
      </c>
    </row>
    <row r="37" spans="1:3">
      <c r="A37" s="41">
        <f t="shared" si="1"/>
        <v>29</v>
      </c>
      <c r="B37" s="20">
        <f t="shared" si="2"/>
        <v>466.21611347249586</v>
      </c>
      <c r="C37" s="20">
        <f t="shared" si="0"/>
        <v>40.428345081727478</v>
      </c>
    </row>
    <row r="38" spans="1:3">
      <c r="A38" s="41">
        <f t="shared" si="1"/>
        <v>30</v>
      </c>
      <c r="B38" s="20">
        <f t="shared" si="2"/>
        <v>468.15868061196466</v>
      </c>
      <c r="C38" s="20">
        <f t="shared" si="0"/>
        <v>38.485777942258757</v>
      </c>
    </row>
    <row r="39" spans="1:3">
      <c r="A39" s="41">
        <f t="shared" si="1"/>
        <v>31</v>
      </c>
      <c r="B39" s="20">
        <f t="shared" si="2"/>
        <v>470.10934178118117</v>
      </c>
      <c r="C39" s="20">
        <f t="shared" si="0"/>
        <v>36.535116773042226</v>
      </c>
    </row>
    <row r="40" spans="1:3">
      <c r="A40" s="41">
        <f t="shared" si="1"/>
        <v>32</v>
      </c>
      <c r="B40" s="20">
        <f t="shared" si="2"/>
        <v>472.06813070526943</v>
      </c>
      <c r="C40" s="20">
        <f t="shared" si="0"/>
        <v>34.57632784895398</v>
      </c>
    </row>
    <row r="41" spans="1:3">
      <c r="A41" s="41">
        <f t="shared" si="1"/>
        <v>33</v>
      </c>
      <c r="B41" s="20">
        <f t="shared" si="2"/>
        <v>474.03508124987468</v>
      </c>
      <c r="C41" s="20">
        <f t="shared" si="0"/>
        <v>32.609377304348691</v>
      </c>
    </row>
    <row r="42" spans="1:3">
      <c r="A42" s="41">
        <f t="shared" si="1"/>
        <v>34</v>
      </c>
      <c r="B42" s="20">
        <f t="shared" si="2"/>
        <v>476.01022742174916</v>
      </c>
      <c r="C42" s="20">
        <f t="shared" si="0"/>
        <v>30.634231132474213</v>
      </c>
    </row>
    <row r="43" spans="1:3">
      <c r="A43" s="41">
        <f t="shared" si="1"/>
        <v>35</v>
      </c>
      <c r="B43" s="20">
        <f t="shared" si="2"/>
        <v>477.99360336933978</v>
      </c>
      <c r="C43" s="20">
        <f t="shared" si="0"/>
        <v>28.650855184883593</v>
      </c>
    </row>
    <row r="44" spans="1:3">
      <c r="A44" s="41">
        <f t="shared" si="1"/>
        <v>36</v>
      </c>
      <c r="B44" s="20">
        <f t="shared" si="2"/>
        <v>479.9852433833787</v>
      </c>
      <c r="C44" s="20">
        <f t="shared" si="0"/>
        <v>26.659215170844675</v>
      </c>
    </row>
    <row r="45" spans="1:3">
      <c r="A45" s="41">
        <f t="shared" si="1"/>
        <v>37</v>
      </c>
      <c r="B45" s="20">
        <f t="shared" si="2"/>
        <v>481.98518189747614</v>
      </c>
      <c r="C45" s="20">
        <f t="shared" si="0"/>
        <v>24.659276656747263</v>
      </c>
    </row>
    <row r="46" spans="1:3">
      <c r="A46" s="41">
        <f t="shared" si="1"/>
        <v>38</v>
      </c>
      <c r="B46" s="20">
        <f t="shared" si="2"/>
        <v>483.9934534887156</v>
      </c>
      <c r="C46" s="20">
        <f t="shared" si="0"/>
        <v>22.651005065507782</v>
      </c>
    </row>
    <row r="47" spans="1:3">
      <c r="A47" s="41">
        <f t="shared" si="1"/>
        <v>39</v>
      </c>
      <c r="B47" s="20">
        <f t="shared" si="2"/>
        <v>486.01009287825195</v>
      </c>
      <c r="C47" s="20">
        <f t="shared" si="0"/>
        <v>20.634365675971466</v>
      </c>
    </row>
    <row r="48" spans="1:3">
      <c r="A48" s="41">
        <f t="shared" si="1"/>
        <v>40</v>
      </c>
      <c r="B48" s="20">
        <f t="shared" si="2"/>
        <v>488.03513493191127</v>
      </c>
      <c r="C48" s="20">
        <f t="shared" si="0"/>
        <v>18.609323622312086</v>
      </c>
    </row>
    <row r="49" spans="1:3">
      <c r="A49" s="41">
        <f t="shared" si="1"/>
        <v>41</v>
      </c>
      <c r="B49" s="20">
        <f t="shared" si="2"/>
        <v>490.06861466079425</v>
      </c>
      <c r="C49" s="20">
        <f t="shared" si="0"/>
        <v>16.57584389342912</v>
      </c>
    </row>
    <row r="50" spans="1:3">
      <c r="A50" s="41">
        <f t="shared" si="1"/>
        <v>42</v>
      </c>
      <c r="B50" s="20">
        <f t="shared" si="2"/>
        <v>492.11056722188096</v>
      </c>
      <c r="C50" s="20">
        <f t="shared" si="0"/>
        <v>14.533891332342479</v>
      </c>
    </row>
    <row r="51" spans="1:3">
      <c r="A51" s="41">
        <f t="shared" si="1"/>
        <v>43</v>
      </c>
      <c r="B51" s="20">
        <f t="shared" si="2"/>
        <v>494.16102791863881</v>
      </c>
      <c r="C51" s="20">
        <f t="shared" si="0"/>
        <v>12.483430635584643</v>
      </c>
    </row>
    <row r="52" spans="1:3">
      <c r="A52" s="41">
        <f t="shared" si="1"/>
        <v>44</v>
      </c>
      <c r="B52" s="20">
        <f t="shared" si="2"/>
        <v>496.2200322016331</v>
      </c>
      <c r="C52" s="20">
        <f t="shared" si="0"/>
        <v>10.424426352590313</v>
      </c>
    </row>
    <row r="53" spans="1:3">
      <c r="A53" s="41">
        <f t="shared" si="1"/>
        <v>45</v>
      </c>
      <c r="B53" s="20">
        <f t="shared" si="2"/>
        <v>498.28761566913988</v>
      </c>
      <c r="C53" s="20">
        <f t="shared" si="0"/>
        <v>8.356842885083509</v>
      </c>
    </row>
    <row r="54" spans="1:3">
      <c r="A54" s="41">
        <f t="shared" si="1"/>
        <v>46</v>
      </c>
      <c r="B54" s="20">
        <f t="shared" si="2"/>
        <v>500.36381406776127</v>
      </c>
      <c r="C54" s="20">
        <f t="shared" si="0"/>
        <v>6.2806444864620934</v>
      </c>
    </row>
    <row r="55" spans="1:3">
      <c r="A55" s="41">
        <f t="shared" si="1"/>
        <v>47</v>
      </c>
      <c r="B55" s="20">
        <f t="shared" si="2"/>
        <v>502.44866329304369</v>
      </c>
      <c r="C55" s="20">
        <f t="shared" si="0"/>
        <v>4.1957952611797564</v>
      </c>
    </row>
    <row r="56" spans="1:3">
      <c r="A56" s="41">
        <f t="shared" si="1"/>
        <v>48</v>
      </c>
      <c r="B56" s="20">
        <f t="shared" si="2"/>
        <v>504.54219939009801</v>
      </c>
      <c r="C56" s="20">
        <f t="shared" si="0"/>
        <v>2.102259164125408</v>
      </c>
    </row>
  </sheetData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F27"/>
  <sheetViews>
    <sheetView zoomScale="190" zoomScaleNormal="190" workbookViewId="0">
      <selection activeCell="E12" sqref="E12"/>
    </sheetView>
  </sheetViews>
  <sheetFormatPr defaultRowHeight="12.75"/>
  <cols>
    <col min="1" max="1" width="15.6640625" customWidth="1"/>
    <col min="2" max="2" width="13.1640625" customWidth="1"/>
    <col min="3" max="3" width="6.5" customWidth="1"/>
    <col min="4" max="4" width="12.33203125" customWidth="1"/>
    <col min="5" max="5" width="10.5" customWidth="1"/>
    <col min="6" max="6" width="10.1640625" customWidth="1"/>
  </cols>
  <sheetData>
    <row r="1" spans="1:6" ht="15">
      <c r="A1" s="47" t="s">
        <v>149</v>
      </c>
      <c r="B1" s="37">
        <v>225000</v>
      </c>
    </row>
    <row r="2" spans="1:6" ht="15">
      <c r="A2" s="42" t="s">
        <v>99</v>
      </c>
      <c r="B2" s="19">
        <v>0.06</v>
      </c>
    </row>
    <row r="3" spans="1:6" ht="15">
      <c r="A3" s="42" t="s">
        <v>100</v>
      </c>
      <c r="B3">
        <v>180</v>
      </c>
    </row>
    <row r="4" spans="1:6" ht="15.75">
      <c r="A4" s="42" t="s">
        <v>34</v>
      </c>
      <c r="B4" s="32">
        <f>PMT(B2/12,B3,B1)</f>
        <v>-1898.6778631090156</v>
      </c>
      <c r="C4" s="43" t="s">
        <v>150</v>
      </c>
      <c r="E4" s="29"/>
    </row>
    <row r="5" spans="1:6" ht="15">
      <c r="A5" s="42" t="s">
        <v>142</v>
      </c>
      <c r="B5" s="30">
        <v>38565</v>
      </c>
      <c r="C5" s="43" t="s">
        <v>151</v>
      </c>
    </row>
    <row r="7" spans="1:6" ht="15">
      <c r="B7" s="53" t="s">
        <v>270</v>
      </c>
      <c r="C7" s="49" t="s">
        <v>147</v>
      </c>
    </row>
    <row r="8" spans="1:6" ht="15">
      <c r="B8" s="54" t="s">
        <v>271</v>
      </c>
      <c r="C8" s="49" t="s">
        <v>148</v>
      </c>
    </row>
    <row r="9" spans="1:6" ht="15">
      <c r="B9" s="42"/>
      <c r="C9" s="75" t="s">
        <v>144</v>
      </c>
      <c r="D9" s="75"/>
      <c r="E9" s="42"/>
      <c r="F9" s="42"/>
    </row>
    <row r="10" spans="1:6" ht="0.95" customHeight="1">
      <c r="B10" s="42"/>
      <c r="C10" s="42"/>
      <c r="D10" s="42"/>
      <c r="E10" s="42"/>
      <c r="F10" s="42"/>
    </row>
    <row r="11" spans="1:6" ht="15">
      <c r="B11" s="42" t="s">
        <v>143</v>
      </c>
      <c r="C11" s="54" t="s">
        <v>145</v>
      </c>
      <c r="D11" s="54" t="s">
        <v>146</v>
      </c>
      <c r="E11" s="53" t="s">
        <v>128</v>
      </c>
      <c r="F11" s="53" t="s">
        <v>127</v>
      </c>
    </row>
    <row r="12" spans="1:6" ht="15">
      <c r="B12" s="28">
        <f>YEAR(B5)</f>
        <v>2005</v>
      </c>
      <c r="C12" s="31">
        <v>1</v>
      </c>
      <c r="D12" s="31">
        <f>13-MONTH(B5)</f>
        <v>5</v>
      </c>
      <c r="E12" s="55">
        <f>CUMIPMT($B$2/12,$B$3,$B$1,$C12,$D12,0)</f>
        <v>-5586.1222033465601</v>
      </c>
      <c r="F12" s="32">
        <f t="shared" ref="F12:F27" si="0">CUMPRINC($B$2/12,$B$3,$B$1,$C12,$D12,0)</f>
        <v>-3907.2671121985181</v>
      </c>
    </row>
    <row r="13" spans="1:6">
      <c r="B13" s="28">
        <f>1+B12</f>
        <v>2006</v>
      </c>
      <c r="C13" s="31">
        <f>1+D12</f>
        <v>6</v>
      </c>
      <c r="D13" s="31">
        <f>11+C13</f>
        <v>17</v>
      </c>
      <c r="E13" s="32">
        <f t="shared" ref="E13:E27" si="1">CUMIPMT($B$2/12,$B$3,$B$1,C13,D13,0)</f>
        <v>-12999.391134544478</v>
      </c>
      <c r="F13" s="32">
        <f t="shared" si="0"/>
        <v>-9784.7432227637091</v>
      </c>
    </row>
    <row r="14" spans="1:6">
      <c r="B14" s="41">
        <f t="shared" ref="B14:B27" si="2">1+B13</f>
        <v>2007</v>
      </c>
      <c r="C14" s="31">
        <f t="shared" ref="C14:C27" si="3">1+D13</f>
        <v>18</v>
      </c>
      <c r="D14" s="31">
        <f t="shared" ref="D14:D26" si="4">11+C14</f>
        <v>29</v>
      </c>
      <c r="E14" s="32">
        <f t="shared" si="1"/>
        <v>-12395.889582908421</v>
      </c>
      <c r="F14" s="32">
        <f t="shared" si="0"/>
        <v>-10388.244774399765</v>
      </c>
    </row>
    <row r="15" spans="1:6">
      <c r="B15" s="41">
        <f t="shared" si="2"/>
        <v>2008</v>
      </c>
      <c r="C15" s="31">
        <f t="shared" si="3"/>
        <v>30</v>
      </c>
      <c r="D15" s="31">
        <f t="shared" si="4"/>
        <v>41</v>
      </c>
      <c r="E15" s="32">
        <f t="shared" si="1"/>
        <v>-11755.165376110623</v>
      </c>
      <c r="F15" s="32">
        <f t="shared" si="0"/>
        <v>-11028.968981197564</v>
      </c>
    </row>
    <row r="16" spans="1:6">
      <c r="B16" s="41">
        <f t="shared" si="2"/>
        <v>2009</v>
      </c>
      <c r="C16" s="31">
        <f t="shared" si="3"/>
        <v>42</v>
      </c>
      <c r="D16" s="31">
        <f t="shared" si="4"/>
        <v>53</v>
      </c>
      <c r="E16" s="32">
        <f t="shared" si="1"/>
        <v>-11074.922702228916</v>
      </c>
      <c r="F16" s="32">
        <f t="shared" si="0"/>
        <v>-11709.211655079271</v>
      </c>
    </row>
    <row r="17" spans="2:6">
      <c r="B17" s="41">
        <f t="shared" si="2"/>
        <v>2010</v>
      </c>
      <c r="C17" s="31">
        <f t="shared" si="3"/>
        <v>54</v>
      </c>
      <c r="D17" s="31">
        <f t="shared" si="4"/>
        <v>65</v>
      </c>
      <c r="E17" s="32">
        <f t="shared" si="1"/>
        <v>-10352.724148685333</v>
      </c>
      <c r="F17" s="32">
        <f t="shared" si="0"/>
        <v>-12431.410208622854</v>
      </c>
    </row>
    <row r="18" spans="2:6">
      <c r="B18" s="41">
        <f t="shared" si="2"/>
        <v>2011</v>
      </c>
      <c r="C18" s="31">
        <f t="shared" si="3"/>
        <v>66</v>
      </c>
      <c r="D18" s="31">
        <f t="shared" si="4"/>
        <v>77</v>
      </c>
      <c r="E18" s="32">
        <f t="shared" si="1"/>
        <v>-9585.9819686274714</v>
      </c>
      <c r="F18" s="32">
        <f t="shared" si="0"/>
        <v>-13198.152388680715</v>
      </c>
    </row>
    <row r="19" spans="2:6">
      <c r="B19" s="41">
        <f t="shared" si="2"/>
        <v>2012</v>
      </c>
      <c r="C19" s="31">
        <f t="shared" si="3"/>
        <v>78</v>
      </c>
      <c r="D19" s="31">
        <f t="shared" si="4"/>
        <v>89</v>
      </c>
      <c r="E19" s="32">
        <f t="shared" si="1"/>
        <v>-8771.9488086394249</v>
      </c>
      <c r="F19" s="32">
        <f t="shared" si="0"/>
        <v>-14012.185548668762</v>
      </c>
    </row>
    <row r="20" spans="2:6">
      <c r="B20" s="41">
        <f t="shared" si="2"/>
        <v>2013</v>
      </c>
      <c r="C20" s="31">
        <f t="shared" si="3"/>
        <v>90</v>
      </c>
      <c r="D20" s="31">
        <f t="shared" si="4"/>
        <v>101</v>
      </c>
      <c r="E20" s="32">
        <f t="shared" si="1"/>
        <v>-7907.7078645581751</v>
      </c>
      <c r="F20" s="32">
        <f t="shared" si="0"/>
        <v>-14876.426492750012</v>
      </c>
    </row>
    <row r="21" spans="2:6">
      <c r="B21" s="41">
        <f t="shared" si="2"/>
        <v>2014</v>
      </c>
      <c r="C21" s="31">
        <f t="shared" si="3"/>
        <v>102</v>
      </c>
      <c r="D21" s="31">
        <f t="shared" si="4"/>
        <v>113</v>
      </c>
      <c r="E21" s="32">
        <f t="shared" si="1"/>
        <v>-6990.1624301222801</v>
      </c>
      <c r="F21" s="32">
        <f t="shared" si="0"/>
        <v>-15793.971927185907</v>
      </c>
    </row>
    <row r="22" spans="2:6">
      <c r="B22" s="41">
        <f t="shared" si="2"/>
        <v>2015</v>
      </c>
      <c r="C22" s="31">
        <f t="shared" si="3"/>
        <v>114</v>
      </c>
      <c r="D22" s="31">
        <f t="shared" si="4"/>
        <v>125</v>
      </c>
      <c r="E22" s="32">
        <f t="shared" si="1"/>
        <v>-6016.0248010041214</v>
      </c>
      <c r="F22" s="32">
        <f t="shared" si="0"/>
        <v>-16768.109556304065</v>
      </c>
    </row>
    <row r="23" spans="2:6">
      <c r="B23" s="41">
        <f t="shared" si="2"/>
        <v>2016</v>
      </c>
      <c r="C23" s="31">
        <f t="shared" si="3"/>
        <v>126</v>
      </c>
      <c r="D23" s="31">
        <f t="shared" si="4"/>
        <v>137</v>
      </c>
      <c r="E23" s="32">
        <f t="shared" si="1"/>
        <v>-4981.8044944670837</v>
      </c>
      <c r="F23" s="32">
        <f t="shared" si="0"/>
        <v>-17802.329862841103</v>
      </c>
    </row>
    <row r="24" spans="2:6">
      <c r="B24" s="41">
        <f t="shared" si="2"/>
        <v>2017</v>
      </c>
      <c r="C24" s="31">
        <f t="shared" si="3"/>
        <v>138</v>
      </c>
      <c r="D24" s="31">
        <f t="shared" si="4"/>
        <v>149</v>
      </c>
      <c r="E24" s="32">
        <f t="shared" si="1"/>
        <v>-3883.7957424370034</v>
      </c>
      <c r="F24" s="32">
        <f t="shared" si="0"/>
        <v>-18900.338614871183</v>
      </c>
    </row>
    <row r="25" spans="2:6">
      <c r="B25" s="41">
        <f t="shared" si="2"/>
        <v>2018</v>
      </c>
      <c r="C25" s="31">
        <f t="shared" si="3"/>
        <v>150</v>
      </c>
      <c r="D25" s="31">
        <f t="shared" si="4"/>
        <v>161</v>
      </c>
      <c r="E25" s="32">
        <f t="shared" si="1"/>
        <v>-2718.0642131736422</v>
      </c>
      <c r="F25" s="32">
        <f t="shared" si="0"/>
        <v>-20066.070144134545</v>
      </c>
    </row>
    <row r="26" spans="2:6">
      <c r="B26" s="41">
        <f t="shared" si="2"/>
        <v>2019</v>
      </c>
      <c r="C26" s="31">
        <f t="shared" si="3"/>
        <v>162</v>
      </c>
      <c r="D26" s="31">
        <f t="shared" si="4"/>
        <v>173</v>
      </c>
      <c r="E26" s="32">
        <f t="shared" si="1"/>
        <v>-1480.4329139638648</v>
      </c>
      <c r="F26" s="32">
        <f t="shared" si="0"/>
        <v>-21303.701443344322</v>
      </c>
    </row>
    <row r="27" spans="2:6">
      <c r="B27" s="41">
        <f t="shared" si="2"/>
        <v>2020</v>
      </c>
      <c r="C27" s="31">
        <f t="shared" si="3"/>
        <v>174</v>
      </c>
      <c r="D27" s="31">
        <v>180</v>
      </c>
      <c r="E27" s="32">
        <f t="shared" si="1"/>
        <v>-261.87697480537281</v>
      </c>
      <c r="F27" s="32">
        <f t="shared" si="0"/>
        <v>-13028.868066957735</v>
      </c>
    </row>
  </sheetData>
  <mergeCells count="1">
    <mergeCell ref="C9:D9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D9"/>
  <sheetViews>
    <sheetView zoomScale="190" zoomScaleNormal="190" workbookViewId="0">
      <selection activeCell="D5" sqref="D5"/>
    </sheetView>
  </sheetViews>
  <sheetFormatPr defaultRowHeight="12.75"/>
  <cols>
    <col min="1" max="1" width="14.6640625" bestFit="1" customWidth="1"/>
    <col min="2" max="4" width="11" bestFit="1" customWidth="1"/>
  </cols>
  <sheetData>
    <row r="1" spans="1:4" ht="15">
      <c r="A1" s="42" t="s">
        <v>119</v>
      </c>
      <c r="B1" s="19">
        <v>0.06</v>
      </c>
    </row>
    <row r="3" spans="1:4" ht="15">
      <c r="A3" s="43" t="s">
        <v>152</v>
      </c>
    </row>
    <row r="4" spans="1:4" ht="15">
      <c r="A4" s="42">
        <v>1</v>
      </c>
      <c r="B4" s="42">
        <v>4</v>
      </c>
      <c r="C4" s="42">
        <v>12</v>
      </c>
      <c r="D4" s="42">
        <v>365</v>
      </c>
    </row>
    <row r="5" spans="1:4" ht="15">
      <c r="A5" s="44">
        <f>EFFECT($B$1,A4)</f>
        <v>6.0000000000000053E-2</v>
      </c>
      <c r="B5" s="44">
        <f>+EFFECT($B$1,B4)</f>
        <v>6.136355062499943E-2</v>
      </c>
      <c r="C5" s="44">
        <f>+EFFECT($B$1,C4)</f>
        <v>6.1677811864497611E-2</v>
      </c>
      <c r="D5" s="44">
        <f>EFFECT($B$1,D4)</f>
        <v>6.1831310677866957E-2</v>
      </c>
    </row>
    <row r="6" spans="1:4" ht="15">
      <c r="D6" s="49" t="s">
        <v>154</v>
      </c>
    </row>
    <row r="8" spans="1:4" ht="15">
      <c r="A8" s="43" t="s">
        <v>153</v>
      </c>
    </row>
    <row r="9" spans="1:4">
      <c r="A9" s="20">
        <f>PMT(A5/12,360,-200000)</f>
        <v>1199.1010503055054</v>
      </c>
      <c r="B9" s="20">
        <f>PMT(B5/12,360,-200000)</f>
        <v>1216.6900711987325</v>
      </c>
      <c r="C9" s="20">
        <f>PMT(C5/12,360,-200000)</f>
        <v>1220.7596406835773</v>
      </c>
      <c r="D9" s="20">
        <f>PMT(D5/12,360,-200000)</f>
        <v>1222.7495300069115</v>
      </c>
    </row>
  </sheetData>
  <phoneticPr fontId="2" type="noConversion"/>
  <pageMargins left="0.75" right="0.75" top="1" bottom="1" header="0.5" footer="0.5"/>
  <pageSetup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2009-10-05T14:11:10Z</outs:dateTime>
      <outs:isPinned>true</outs:isPinned>
    </outs:relatedDate>
    <outs:relatedDate>
      <outs:type>2</outs:type>
      <outs:displayName>Created</outs:displayName>
      <outs:dateTime>2006-04-11T09:40:55Z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Bill Jelen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Bill Jelen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F0B85D1-0B78-4F6D-BD25-17D6DDC6A5D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Intro</vt:lpstr>
      <vt:lpstr>PMT</vt:lpstr>
      <vt:lpstr>RATE</vt:lpstr>
      <vt:lpstr>PV</vt:lpstr>
      <vt:lpstr>NPER</vt:lpstr>
      <vt:lpstr>FV</vt:lpstr>
      <vt:lpstr>PPMT</vt:lpstr>
      <vt:lpstr>CUMIPMT</vt:lpstr>
      <vt:lpstr>EFFECT</vt:lpstr>
      <vt:lpstr>ISPMT</vt:lpstr>
      <vt:lpstr>SLN</vt:lpstr>
      <vt:lpstr>Switch</vt:lpstr>
      <vt:lpstr>VDB</vt:lpstr>
      <vt:lpstr>NPV</vt:lpstr>
      <vt:lpstr>MIRR</vt:lpstr>
      <vt:lpstr>XNPV</vt:lpstr>
      <vt:lpstr>YIELD</vt:lpstr>
      <vt:lpstr>PRICE</vt:lpstr>
      <vt:lpstr>COUP</vt:lpstr>
      <vt:lpstr>RECEIVED</vt:lpstr>
      <vt:lpstr>INTRATE</vt:lpstr>
      <vt:lpstr>DISC</vt:lpstr>
      <vt:lpstr>PRICEMAT</vt:lpstr>
      <vt:lpstr>PRICEDISC</vt:lpstr>
      <vt:lpstr>TBILL</vt:lpstr>
      <vt:lpstr>ACCRINT</vt:lpstr>
      <vt:lpstr>DURATION</vt:lpstr>
      <vt:lpstr>DOLLARDE</vt:lpstr>
      <vt:lpstr>FVSCHEDULE</vt:lpstr>
      <vt:lpstr>Sheet1</vt:lpstr>
      <vt:lpstr>ODDFPRICE</vt:lpstr>
      <vt:lpstr>ODDFYIELD</vt:lpstr>
      <vt:lpstr>ODDLPRICE</vt:lpstr>
      <vt:lpstr>ODDLYIELD</vt:lpstr>
    </vt:vector>
  </TitlesOfParts>
  <Company>Tickling Keys,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2006-04-11T09:40:55Z</dcterms:created>
  <dcterms:modified xsi:type="dcterms:W3CDTF">2010-06-25T22:52:38Z</dcterms:modified>
</cp:coreProperties>
</file>